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T11-MC01.gazprom-neft.local\DFS\fs5-groups\dpr\2.1 БИЗНЕС-ВОЗМОЖНОСТИ\104. Климатический проект\3. Газопровод ЗАС\1. Валидация\Отчет и заключение\0. Для отправки\"/>
    </mc:Choice>
  </mc:AlternateContent>
  <bookViews>
    <workbookView xWindow="-90" yWindow="0" windowWidth="9780" windowHeight="11370" activeTab="5"/>
  </bookViews>
  <sheets>
    <sheet name="Пр 2. Лист 1. БЛ по М0014" sheetId="9" r:id="rId1"/>
    <sheet name="Пр. 2 Лист 2. ПЛ по М0014" sheetId="10" r:id="rId2"/>
    <sheet name="Пр 2 Лист 3. Сокр выбр ПГ" sheetId="4" r:id="rId3"/>
    <sheet name="Пр 2. Лист 4. Состав ПНГ" sheetId="2" r:id="rId4"/>
    <sheet name="Пр 2. Лист 5. Объем ПНГ" sheetId="8" r:id="rId5"/>
    <sheet name="Пр 2. Лист 6. Неопределенность" sheetId="5" r:id="rId6"/>
  </sheets>
  <definedNames>
    <definedName name="_xlnm.Print_Area" localSheetId="0">'Пр 2. Лист 1. БЛ по М0014'!$A$1:$R$99</definedName>
    <definedName name="_xlnm.Print_Area" localSheetId="4">'Пр 2. Лист 5. Объем ПНГ'!$A$1:$R$35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4" i="10" l="1"/>
  <c r="H82" i="9"/>
  <c r="C33" i="8"/>
  <c r="C34" i="8" s="1"/>
  <c r="D33" i="8"/>
  <c r="D34" i="8" s="1"/>
  <c r="E33" i="8"/>
  <c r="E34" i="8" s="1"/>
  <c r="F33" i="8"/>
  <c r="F34" i="8" s="1"/>
  <c r="G33" i="8"/>
  <c r="G34" i="8" s="1"/>
  <c r="H33" i="8"/>
  <c r="H34" i="8" s="1"/>
  <c r="I33" i="8"/>
  <c r="I34" i="8" s="1"/>
  <c r="J33" i="8"/>
  <c r="J34" i="8" s="1"/>
  <c r="K33" i="8"/>
  <c r="K34" i="8" s="1"/>
  <c r="L33" i="8"/>
  <c r="L34" i="8" s="1"/>
  <c r="M33" i="8"/>
  <c r="M34" i="8" s="1"/>
  <c r="N33" i="8"/>
  <c r="N34" i="8" s="1"/>
  <c r="O33" i="8"/>
  <c r="O34" i="8" s="1"/>
  <c r="P33" i="8"/>
  <c r="P34" i="8" s="1"/>
  <c r="Q33" i="8"/>
  <c r="Q34" i="8" s="1"/>
  <c r="B33" i="8"/>
  <c r="B34" i="8" s="1"/>
  <c r="M3" i="8" l="1"/>
  <c r="O13" i="8"/>
  <c r="O11" i="8" s="1"/>
  <c r="P13" i="8"/>
  <c r="P11" i="8" s="1"/>
  <c r="Q13" i="8"/>
  <c r="Q11" i="8" s="1"/>
  <c r="N13" i="8"/>
  <c r="N11" i="8" s="1"/>
  <c r="N3" i="8" s="1"/>
  <c r="L11" i="8" l="1"/>
  <c r="L4" i="8" l="1"/>
  <c r="C3" i="8"/>
  <c r="D3" i="8"/>
  <c r="E3" i="8"/>
  <c r="F3" i="8"/>
  <c r="G3" i="8"/>
  <c r="H3" i="8"/>
  <c r="I3" i="8"/>
  <c r="J3" i="8"/>
  <c r="K3" i="8"/>
  <c r="L3" i="8"/>
  <c r="O3" i="8"/>
  <c r="P3" i="8"/>
  <c r="Q3" i="8"/>
  <c r="B3" i="8"/>
  <c r="M4" i="8"/>
  <c r="N4" i="8"/>
  <c r="O4" i="8"/>
  <c r="P4" i="8"/>
  <c r="Q4" i="8"/>
  <c r="G4" i="8"/>
  <c r="H4" i="8"/>
  <c r="I4" i="8"/>
  <c r="J4" i="8"/>
  <c r="K4" i="8"/>
  <c r="F4" i="8"/>
  <c r="C4" i="8"/>
  <c r="D4" i="8"/>
  <c r="E4" i="8"/>
  <c r="B4" i="8"/>
  <c r="L24" i="8"/>
  <c r="L25" i="8"/>
  <c r="L26" i="8"/>
  <c r="L27" i="8" l="1"/>
  <c r="M26" i="8"/>
  <c r="M25" i="8"/>
  <c r="L29" i="8" l="1"/>
  <c r="K25" i="8"/>
  <c r="I25" i="8"/>
  <c r="I24" i="8"/>
  <c r="H24" i="8"/>
  <c r="H25" i="8"/>
  <c r="H27" i="8" s="1"/>
  <c r="I27" i="8" l="1"/>
  <c r="H29" i="8" l="1"/>
  <c r="H30" i="8" s="1"/>
  <c r="K42" i="10"/>
  <c r="Q26" i="8" l="1"/>
  <c r="K43" i="10"/>
  <c r="K45" i="10" s="1"/>
  <c r="A19" i="9"/>
  <c r="A54" i="9" s="1"/>
  <c r="A20" i="9"/>
  <c r="A55" i="9" s="1"/>
  <c r="A21" i="9"/>
  <c r="A56" i="9" s="1"/>
  <c r="A22" i="9"/>
  <c r="A57" i="9" s="1"/>
  <c r="A23" i="9"/>
  <c r="A58" i="9" s="1"/>
  <c r="A24" i="9"/>
  <c r="A59" i="9" s="1"/>
  <c r="A25" i="9"/>
  <c r="A60" i="9" s="1"/>
  <c r="A26" i="9"/>
  <c r="A61" i="9" s="1"/>
  <c r="A27" i="9"/>
  <c r="A62" i="9" s="1"/>
  <c r="A28" i="9"/>
  <c r="A63" i="9" s="1"/>
  <c r="A18" i="9"/>
  <c r="A53" i="9" s="1"/>
  <c r="Q24" i="8" l="1"/>
  <c r="Q25" i="8"/>
  <c r="Q27" i="8" l="1"/>
  <c r="Q29" i="8" s="1"/>
  <c r="Q30" i="8" s="1"/>
  <c r="M12" i="9" l="1"/>
  <c r="H51" i="9" s="1"/>
  <c r="E74" i="10"/>
  <c r="M35" i="9" l="1"/>
  <c r="M78" i="9" s="1"/>
  <c r="E75" i="10"/>
  <c r="E76" i="10" l="1"/>
  <c r="E77" i="10" l="1"/>
  <c r="E78" i="10" l="1"/>
  <c r="E79" i="10" l="1"/>
  <c r="E80" i="10" l="1"/>
  <c r="E81" i="10" l="1"/>
  <c r="E82" i="10" l="1"/>
  <c r="E83" i="10" s="1"/>
  <c r="E84" i="10" l="1"/>
  <c r="F48" i="5" l="1"/>
  <c r="B38" i="5" l="1"/>
  <c r="C26" i="8" l="1"/>
  <c r="D26" i="8"/>
  <c r="E26" i="8"/>
  <c r="F26" i="8"/>
  <c r="G26" i="8"/>
  <c r="H26" i="8"/>
  <c r="I26" i="8"/>
  <c r="J26" i="8"/>
  <c r="K26" i="8"/>
  <c r="N26" i="8"/>
  <c r="O26" i="8"/>
  <c r="P26" i="8"/>
  <c r="B26" i="8"/>
  <c r="C25" i="8"/>
  <c r="D25" i="8"/>
  <c r="E25" i="8"/>
  <c r="F25" i="8"/>
  <c r="G25" i="8"/>
  <c r="I29" i="8"/>
  <c r="I30" i="8" s="1"/>
  <c r="J25" i="8"/>
  <c r="N25" i="8"/>
  <c r="O25" i="8"/>
  <c r="P25" i="8"/>
  <c r="B25" i="8"/>
  <c r="C24" i="8"/>
  <c r="D24" i="8"/>
  <c r="E24" i="8"/>
  <c r="F24" i="8"/>
  <c r="G24" i="8"/>
  <c r="J24" i="8"/>
  <c r="K24" i="8"/>
  <c r="L30" i="8"/>
  <c r="M24" i="8"/>
  <c r="M27" i="8" s="1"/>
  <c r="M29" i="8" s="1"/>
  <c r="M30" i="8" s="1"/>
  <c r="N24" i="8"/>
  <c r="O24" i="8"/>
  <c r="P24" i="8"/>
  <c r="B24" i="8"/>
  <c r="H12" i="9" l="1"/>
  <c r="H35" i="9" s="1"/>
  <c r="B27" i="8"/>
  <c r="P27" i="8"/>
  <c r="G27" i="8"/>
  <c r="G29" i="8" s="1"/>
  <c r="G30" i="8" s="1"/>
  <c r="H78" i="9"/>
  <c r="D27" i="8"/>
  <c r="C27" i="8"/>
  <c r="E27" i="8"/>
  <c r="O27" i="8"/>
  <c r="K27" i="8"/>
  <c r="K29" i="8" s="1"/>
  <c r="K30" i="8" s="1"/>
  <c r="N27" i="8"/>
  <c r="J27" i="8"/>
  <c r="J29" i="8" s="1"/>
  <c r="J30" i="8" s="1"/>
  <c r="F27" i="8"/>
  <c r="D12" i="9"/>
  <c r="F12" i="9" l="1"/>
  <c r="F35" i="9" s="1"/>
  <c r="C12" i="9"/>
  <c r="C35" i="9" s="1"/>
  <c r="E12" i="9"/>
  <c r="E35" i="9" s="1"/>
  <c r="G12" i="9"/>
  <c r="G35" i="9" s="1"/>
  <c r="G78" i="9" s="1"/>
  <c r="H44" i="9"/>
  <c r="C78" i="9" l="1"/>
  <c r="H41" i="9"/>
  <c r="H45" i="9"/>
  <c r="H42" i="9"/>
  <c r="D35" i="9"/>
  <c r="H43" i="9"/>
  <c r="F78" i="9"/>
  <c r="E78" i="9" l="1"/>
  <c r="D78" i="9"/>
  <c r="H46" i="9"/>
  <c r="I12" i="9"/>
  <c r="N29" i="8"/>
  <c r="N30" i="8" s="1"/>
  <c r="B17" i="5"/>
  <c r="M60" i="2"/>
  <c r="M59" i="2"/>
  <c r="M58" i="2"/>
  <c r="M57" i="2"/>
  <c r="M56" i="2"/>
  <c r="M55" i="2"/>
  <c r="M54" i="2"/>
  <c r="M53" i="2"/>
  <c r="M52" i="2"/>
  <c r="M51" i="2"/>
  <c r="J12" i="9" l="1"/>
  <c r="H47" i="9"/>
  <c r="I35" i="9"/>
  <c r="M61" i="2"/>
  <c r="O29" i="8"/>
  <c r="O30" i="8" s="1"/>
  <c r="R24" i="2"/>
  <c r="C38" i="2" s="1"/>
  <c r="R25" i="2"/>
  <c r="C39" i="2" s="1"/>
  <c r="R26" i="2"/>
  <c r="C40" i="2" s="1"/>
  <c r="R27" i="2"/>
  <c r="C41" i="2" s="1"/>
  <c r="R28" i="2"/>
  <c r="C42" i="2" s="1"/>
  <c r="R29" i="2"/>
  <c r="C43" i="2" s="1"/>
  <c r="R30" i="2"/>
  <c r="C44" i="2" s="1"/>
  <c r="R31" i="2"/>
  <c r="C45" i="2" s="1"/>
  <c r="R32" i="2"/>
  <c r="C46" i="2" s="1"/>
  <c r="Q33" i="2"/>
  <c r="N33" i="2"/>
  <c r="M33" i="2"/>
  <c r="L33" i="2"/>
  <c r="G23" i="2"/>
  <c r="F23" i="2"/>
  <c r="E33" i="2"/>
  <c r="D33" i="2"/>
  <c r="C33" i="2"/>
  <c r="C132" i="2" l="1"/>
  <c r="C73" i="2"/>
  <c r="C129" i="2"/>
  <c r="C70" i="2"/>
  <c r="C130" i="2"/>
  <c r="C71" i="2"/>
  <c r="C131" i="2"/>
  <c r="C72" i="2"/>
  <c r="C134" i="2"/>
  <c r="C75" i="2"/>
  <c r="C126" i="2"/>
  <c r="C67" i="2"/>
  <c r="C128" i="2"/>
  <c r="C69" i="2"/>
  <c r="C133" i="2"/>
  <c r="C74" i="2"/>
  <c r="C127" i="2"/>
  <c r="C68" i="2"/>
  <c r="R23" i="2"/>
  <c r="C37" i="2" s="1"/>
  <c r="K12" i="9"/>
  <c r="H48" i="9"/>
  <c r="J35" i="9"/>
  <c r="I78" i="9"/>
  <c r="B22" i="9"/>
  <c r="B24" i="9"/>
  <c r="B26" i="9"/>
  <c r="B20" i="9"/>
  <c r="B23" i="9"/>
  <c r="B25" i="9"/>
  <c r="B27" i="9"/>
  <c r="B19" i="9"/>
  <c r="B21" i="9"/>
  <c r="B19" i="5"/>
  <c r="F47" i="5" s="1"/>
  <c r="R33" i="2"/>
  <c r="C47" i="2" s="1"/>
  <c r="P29" i="8"/>
  <c r="P30" i="8" s="1"/>
  <c r="G128" i="2" l="1"/>
  <c r="E128" i="2"/>
  <c r="I128" i="2"/>
  <c r="E134" i="2"/>
  <c r="I134" i="2"/>
  <c r="G134" i="2"/>
  <c r="E131" i="2"/>
  <c r="I131" i="2"/>
  <c r="G131" i="2"/>
  <c r="C135" i="2"/>
  <c r="C76" i="2"/>
  <c r="E76" i="2" s="1"/>
  <c r="E130" i="2"/>
  <c r="I130" i="2"/>
  <c r="G130" i="2"/>
  <c r="E69" i="2"/>
  <c r="F47" i="10" s="1"/>
  <c r="E133" i="2"/>
  <c r="I133" i="2"/>
  <c r="G133" i="2"/>
  <c r="C125" i="2"/>
  <c r="C66" i="2"/>
  <c r="I129" i="2"/>
  <c r="E129" i="2"/>
  <c r="G129" i="2"/>
  <c r="E74" i="2"/>
  <c r="I132" i="2"/>
  <c r="G132" i="2"/>
  <c r="E132" i="2"/>
  <c r="H49" i="9"/>
  <c r="K35" i="9"/>
  <c r="J78" i="9"/>
  <c r="L12" i="9"/>
  <c r="B28" i="9"/>
  <c r="B18" i="9"/>
  <c r="B53" i="9" s="1"/>
  <c r="D53" i="9" s="1"/>
  <c r="B22" i="5"/>
  <c r="E68" i="2" l="1"/>
  <c r="E66" i="2"/>
  <c r="C77" i="2"/>
  <c r="E72" i="2"/>
  <c r="D51" i="10"/>
  <c r="I51" i="10"/>
  <c r="G135" i="2"/>
  <c r="G136" i="2" s="1"/>
  <c r="E135" i="2"/>
  <c r="I135" i="2"/>
  <c r="E75" i="2"/>
  <c r="E136" i="2"/>
  <c r="E73" i="2"/>
  <c r="E67" i="2"/>
  <c r="I136" i="2"/>
  <c r="E70" i="2"/>
  <c r="E71" i="2"/>
  <c r="H50" i="9"/>
  <c r="L35" i="9"/>
  <c r="K78" i="9"/>
  <c r="B57" i="9"/>
  <c r="D57" i="9" s="1"/>
  <c r="B61" i="9"/>
  <c r="D61" i="9" s="1"/>
  <c r="B54" i="9"/>
  <c r="D54" i="9" s="1"/>
  <c r="B59" i="9"/>
  <c r="D59" i="9" s="1"/>
  <c r="B60" i="9"/>
  <c r="D60" i="9" s="1"/>
  <c r="B62" i="9"/>
  <c r="D62" i="9" s="1"/>
  <c r="B58" i="9"/>
  <c r="D58" i="9" s="1"/>
  <c r="B56" i="9"/>
  <c r="D56" i="9" s="1"/>
  <c r="B63" i="9"/>
  <c r="D63" i="9" s="1"/>
  <c r="B55" i="9"/>
  <c r="D55" i="9" s="1"/>
  <c r="B29" i="9"/>
  <c r="D64" i="9" l="1"/>
  <c r="F142" i="2"/>
  <c r="C142" i="2"/>
  <c r="F140" i="2"/>
  <c r="F138" i="2"/>
  <c r="C140" i="2"/>
  <c r="C66" i="10"/>
  <c r="G83" i="10" s="1"/>
  <c r="I83" i="10" s="1"/>
  <c r="E25" i="4" s="1"/>
  <c r="C57" i="10"/>
  <c r="C56" i="10"/>
  <c r="E77" i="2"/>
  <c r="L78" i="9"/>
  <c r="G73" i="10" l="1"/>
  <c r="I73" i="10" s="1"/>
  <c r="E15" i="4" s="1"/>
  <c r="G15" i="9"/>
  <c r="E148" i="2"/>
  <c r="G74" i="10"/>
  <c r="I74" i="10" s="1"/>
  <c r="E16" i="4" s="1"/>
  <c r="C58" i="10"/>
  <c r="F144" i="2"/>
  <c r="F146" i="2" s="1"/>
  <c r="C144" i="2"/>
  <c r="C72" i="9"/>
  <c r="E72" i="9"/>
  <c r="G75" i="10" l="1"/>
  <c r="I75" i="10" s="1"/>
  <c r="E17" i="4" s="1"/>
  <c r="C59" i="10"/>
  <c r="C146" i="2"/>
  <c r="E36" i="9"/>
  <c r="F36" i="9"/>
  <c r="G36" i="9"/>
  <c r="H36" i="9"/>
  <c r="I36" i="9"/>
  <c r="J36" i="9"/>
  <c r="K36" i="9"/>
  <c r="L36" i="9"/>
  <c r="M36" i="9"/>
  <c r="C36" i="9"/>
  <c r="C37" i="9" s="1"/>
  <c r="D36" i="9"/>
  <c r="F74" i="9"/>
  <c r="D74" i="9"/>
  <c r="G79" i="9" l="1"/>
  <c r="G37" i="9"/>
  <c r="G80" i="9" s="1"/>
  <c r="G81" i="9" s="1"/>
  <c r="G82" i="9" s="1"/>
  <c r="G92" i="9" s="1"/>
  <c r="C19" i="4" s="1"/>
  <c r="F79" i="9"/>
  <c r="F37" i="9"/>
  <c r="F80" i="9" s="1"/>
  <c r="F81" i="9" s="1"/>
  <c r="F82" i="9" s="1"/>
  <c r="G91" i="9" s="1"/>
  <c r="C18" i="4" s="1"/>
  <c r="J79" i="9"/>
  <c r="J37" i="9"/>
  <c r="J80" i="9" s="1"/>
  <c r="J81" i="9" s="1"/>
  <c r="J82" i="9" s="1"/>
  <c r="G95" i="9" s="1"/>
  <c r="C22" i="4" s="1"/>
  <c r="C79" i="9"/>
  <c r="I41" i="9"/>
  <c r="C80" i="9"/>
  <c r="C81" i="9" s="1"/>
  <c r="C82" i="9" s="1"/>
  <c r="G88" i="9" s="1"/>
  <c r="L79" i="9"/>
  <c r="L37" i="9"/>
  <c r="L80" i="9" s="1"/>
  <c r="L81" i="9" s="1"/>
  <c r="L82" i="9" s="1"/>
  <c r="G97" i="9" s="1"/>
  <c r="C24" i="4" s="1"/>
  <c r="K79" i="9"/>
  <c r="K37" i="9"/>
  <c r="K80" i="9" s="1"/>
  <c r="K81" i="9" s="1"/>
  <c r="K82" i="9" s="1"/>
  <c r="G96" i="9" s="1"/>
  <c r="C23" i="4" s="1"/>
  <c r="I79" i="9"/>
  <c r="I37" i="9"/>
  <c r="I80" i="9" s="1"/>
  <c r="I81" i="9" s="1"/>
  <c r="I82" i="9" s="1"/>
  <c r="G94" i="9" s="1"/>
  <c r="C21" i="4" s="1"/>
  <c r="E79" i="9"/>
  <c r="E37" i="9"/>
  <c r="E80" i="9" s="1"/>
  <c r="E81" i="9" s="1"/>
  <c r="E82" i="9" s="1"/>
  <c r="G90" i="9" s="1"/>
  <c r="C17" i="4" s="1"/>
  <c r="G17" i="4" s="1"/>
  <c r="G76" i="10"/>
  <c r="I76" i="10" s="1"/>
  <c r="E18" i="4" s="1"/>
  <c r="C60" i="10"/>
  <c r="D79" i="9"/>
  <c r="D37" i="9"/>
  <c r="D80" i="9" s="1"/>
  <c r="D81" i="9" s="1"/>
  <c r="D82" i="9" s="1"/>
  <c r="G89" i="9" s="1"/>
  <c r="C16" i="4" s="1"/>
  <c r="G16" i="4" s="1"/>
  <c r="M37" i="9"/>
  <c r="M80" i="9" s="1"/>
  <c r="M79" i="9"/>
  <c r="H79" i="9"/>
  <c r="H37" i="9"/>
  <c r="H80" i="9" s="1"/>
  <c r="H81" i="9" s="1"/>
  <c r="G93" i="9" s="1"/>
  <c r="C20" i="4" s="1"/>
  <c r="M81" i="9"/>
  <c r="M82" i="9" s="1"/>
  <c r="G98" i="9" s="1"/>
  <c r="C25" i="4" s="1"/>
  <c r="G25" i="4" s="1"/>
  <c r="E88" i="9"/>
  <c r="E89" i="9" s="1"/>
  <c r="G18" i="4" l="1"/>
  <c r="I42" i="9"/>
  <c r="J41" i="9"/>
  <c r="G77" i="10"/>
  <c r="I77" i="10" s="1"/>
  <c r="E19" i="4" s="1"/>
  <c r="G19" i="4" s="1"/>
  <c r="C61" i="10"/>
  <c r="E90" i="9"/>
  <c r="N81" i="9"/>
  <c r="O81" i="9" s="1"/>
  <c r="D88" i="9" l="1"/>
  <c r="F88" i="9" s="1"/>
  <c r="G78" i="10"/>
  <c r="I78" i="10" s="1"/>
  <c r="E20" i="4" s="1"/>
  <c r="G20" i="4" s="1"/>
  <c r="C62" i="10"/>
  <c r="I43" i="9"/>
  <c r="J42" i="9"/>
  <c r="D89" i="9" s="1"/>
  <c r="F89" i="9" s="1"/>
  <c r="E91" i="9"/>
  <c r="N82" i="9"/>
  <c r="O82" i="9" s="1"/>
  <c r="C15" i="4"/>
  <c r="I44" i="9" l="1"/>
  <c r="J43" i="9"/>
  <c r="D90" i="9" s="1"/>
  <c r="F90" i="9" s="1"/>
  <c r="G79" i="10"/>
  <c r="I79" i="10" s="1"/>
  <c r="E21" i="4" s="1"/>
  <c r="G21" i="4" s="1"/>
  <c r="C63" i="10"/>
  <c r="C26" i="4"/>
  <c r="G15" i="4"/>
  <c r="E92" i="9"/>
  <c r="G99" i="9"/>
  <c r="D47" i="5" s="1"/>
  <c r="G80" i="10" l="1"/>
  <c r="I80" i="10" s="1"/>
  <c r="E22" i="4" s="1"/>
  <c r="G22" i="4" s="1"/>
  <c r="C64" i="10"/>
  <c r="I45" i="9"/>
  <c r="J44" i="9"/>
  <c r="D91" i="9" s="1"/>
  <c r="F91" i="9" s="1"/>
  <c r="E93" i="9"/>
  <c r="I46" i="9" l="1"/>
  <c r="J45" i="9"/>
  <c r="D92" i="9" s="1"/>
  <c r="F92" i="9" s="1"/>
  <c r="G81" i="10"/>
  <c r="I81" i="10" s="1"/>
  <c r="E23" i="4" s="1"/>
  <c r="G23" i="4" s="1"/>
  <c r="C65" i="10"/>
  <c r="E94" i="9"/>
  <c r="G82" i="10" l="1"/>
  <c r="I82" i="10" s="1"/>
  <c r="E24" i="4" s="1"/>
  <c r="C67" i="10"/>
  <c r="G84" i="10" s="1"/>
  <c r="I84" i="10" s="1"/>
  <c r="D48" i="5" s="1"/>
  <c r="D49" i="5" s="1"/>
  <c r="F49" i="5" s="1"/>
  <c r="B52" i="5" s="1"/>
  <c r="I47" i="9"/>
  <c r="J46" i="9"/>
  <c r="D93" i="9" s="1"/>
  <c r="F93" i="9" s="1"/>
  <c r="E95" i="9"/>
  <c r="I48" i="9" l="1"/>
  <c r="J47" i="9"/>
  <c r="D94" i="9" s="1"/>
  <c r="F94" i="9" s="1"/>
  <c r="E26" i="4"/>
  <c r="G24" i="4"/>
  <c r="G26" i="4" s="1"/>
  <c r="E96" i="9"/>
  <c r="I49" i="9" l="1"/>
  <c r="J48" i="9"/>
  <c r="D95" i="9" s="1"/>
  <c r="F95" i="9" s="1"/>
  <c r="E97" i="9"/>
  <c r="I50" i="9" l="1"/>
  <c r="J49" i="9"/>
  <c r="D96" i="9" s="1"/>
  <c r="F96" i="9" s="1"/>
  <c r="E98" i="9"/>
  <c r="I51" i="9" l="1"/>
  <c r="J51" i="9" s="1"/>
  <c r="D98" i="9" s="1"/>
  <c r="F98" i="9" s="1"/>
  <c r="J50" i="9"/>
  <c r="D97" i="9" s="1"/>
  <c r="D99" i="9" l="1"/>
  <c r="F97" i="9"/>
</calcChain>
</file>

<file path=xl/sharedStrings.xml><?xml version="1.0" encoding="utf-8"?>
<sst xmlns="http://schemas.openxmlformats.org/spreadsheetml/2006/main" count="451" uniqueCount="279">
  <si>
    <t>Протокол испытаний № 300 Г от 18.09.2021</t>
  </si>
  <si>
    <t xml:space="preserve">ПРОТОКОЛ ИСПЫТАНИИ N 114 Г от 23.03.2022
</t>
  </si>
  <si>
    <t>ПРОТОКОЛ ИСПЫТАНИЙ № 121 Г от 04.04.2022</t>
  </si>
  <si>
    <t>ПРОТОКОЛ ИСПЫТАНИЙ № 217 Г от 07.06.2022</t>
  </si>
  <si>
    <t>Протокол испытаний 321 Г от 06.07.2023</t>
  </si>
  <si>
    <t>кислород</t>
  </si>
  <si>
    <t>менее 0,005</t>
  </si>
  <si>
    <t>более 0,1</t>
  </si>
  <si>
    <t>азот</t>
  </si>
  <si>
    <t>двуокись углерода</t>
  </si>
  <si>
    <t>метан</t>
  </si>
  <si>
    <t>этан</t>
  </si>
  <si>
    <t>пропан</t>
  </si>
  <si>
    <t>изобутан</t>
  </si>
  <si>
    <t>н-бутан</t>
  </si>
  <si>
    <t>изопентан</t>
  </si>
  <si>
    <t>н-пентан</t>
  </si>
  <si>
    <t>углеводороды Сб (гексаны+)</t>
  </si>
  <si>
    <t>более 1,0</t>
  </si>
  <si>
    <t>Данные о составе ПНГ за 2021 - 2025 гг</t>
  </si>
  <si>
    <t>Протокол испытаний № 74 Г от 02.03.2024</t>
  </si>
  <si>
    <t>ПРОТОКОЛ ИСПЫТАНИЙ
№ 158 Г от 18.05.2024</t>
  </si>
  <si>
    <t xml:space="preserve">ПРОТОКОЛ ИСПЫТАНИЙ
N 250 Г от 25.08.2024
</t>
  </si>
  <si>
    <t>ПРОТОКОЛ ИСПЫТАНИЙ
№ 406 Г от 23.12.2024</t>
  </si>
  <si>
    <t>ПРОТОКОЛ ИСПЫТАНИЙ
№ 134 Г от 18.04.2025</t>
  </si>
  <si>
    <t>ПРОТОКОЛ ИСПЫТАНИЙ № 254 Г от 08.08.2025</t>
  </si>
  <si>
    <t>ПРОТОКОЛ ИСПЫТАНИИ № 422 Г от 19.12.2021*</t>
  </si>
  <si>
    <t>Содержание компонента, % мольн</t>
  </si>
  <si>
    <t>Средний по протоколам</t>
  </si>
  <si>
    <t>№№</t>
  </si>
  <si>
    <t>Компонент ПНГ</t>
  </si>
  <si>
    <t>Согласно представленным протоколам</t>
  </si>
  <si>
    <t>Расчет усредненного состава ПНГ</t>
  </si>
  <si>
    <t>ИТОГО</t>
  </si>
  <si>
    <t>Календарный год</t>
  </si>
  <si>
    <t>PEy</t>
  </si>
  <si>
    <t>проектные выбросы в год y, т CO2/год;</t>
  </si>
  <si>
    <t>где</t>
  </si>
  <si>
    <t>Выбросы ПГ по проектной линии приведены в таблице</t>
  </si>
  <si>
    <r>
      <t xml:space="preserve">Фугитивные выбросы CH4 от транспортировки ПНГ на установку конечного использования, т CO2-экв
</t>
    </r>
    <r>
      <rPr>
        <i/>
        <sz val="11"/>
        <color theme="1"/>
        <rFont val="Calibri"/>
        <family val="2"/>
        <charset val="204"/>
        <scheme val="minor"/>
      </rPr>
      <t>PECH4,T, y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</si>
  <si>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Согласно формуле 35 ПНСТ 900-2023 сокращение выбросов ПГ составит</t>
  </si>
  <si>
    <t>ERy</t>
  </si>
  <si>
    <t>сокращение выбросов в течение года y, т CO2/год;</t>
  </si>
  <si>
    <t>BEy</t>
  </si>
  <si>
    <t>выбросы по базовой линии в год y, т CO2/год;</t>
  </si>
  <si>
    <t>выбросы по проектному сценарию в год y, т CO2/год.</t>
  </si>
  <si>
    <t>Сокращение выбросов ПГ приведено в таблице</t>
  </si>
  <si>
    <t>Содержание компонента, % мольн.</t>
  </si>
  <si>
    <t>Среднее значение расширенной неопределенности, %</t>
  </si>
  <si>
    <t>Неопределенность коэффициентов выбросов ПГ. Принята как среднее из значений расширенной неопределенности, приведенной в протоколах испытаний компонентного состава ПНГ</t>
  </si>
  <si>
    <t>Неопределенность для базовой линии</t>
  </si>
  <si>
    <t>Неопределенность базовой линии рассчитана по формуле:</t>
  </si>
  <si>
    <t>a</t>
  </si>
  <si>
    <t xml:space="preserve">а = </t>
  </si>
  <si>
    <t>b</t>
  </si>
  <si>
    <t>b =</t>
  </si>
  <si>
    <t>Неопределенность по базовой линии составит</t>
  </si>
  <si>
    <t>%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</si>
  <si>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</si>
  <si>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</si>
  <si>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</si>
  <si>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</si>
  <si>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</si>
  <si>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</si>
  <si>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</si>
  <si>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2026 год</t>
  </si>
  <si>
    <t>2027 год</t>
  </si>
  <si>
    <t>2028 год</t>
  </si>
  <si>
    <t>2029 год</t>
  </si>
  <si>
    <t>2030 год</t>
  </si>
  <si>
    <t>2031 год</t>
  </si>
  <si>
    <t>2032 год</t>
  </si>
  <si>
    <t>2033 год</t>
  </si>
  <si>
    <t>1. Добыча нефти, тыс.тн</t>
  </si>
  <si>
    <t>2. Газовый фактор</t>
  </si>
  <si>
    <t>5. Поставка газа,   млн.м3</t>
  </si>
  <si>
    <t xml:space="preserve">          5.2.1.  Газ на ТХУ</t>
  </si>
  <si>
    <t xml:space="preserve">          5.2.2.  Газ на выработку эл.энергии</t>
  </si>
  <si>
    <t>6. Потери  всего, млн.м3</t>
  </si>
  <si>
    <t>Утилизация ПНГ, млн м3/год</t>
  </si>
  <si>
    <t>Сжигание ПНГ, млн м3/год</t>
  </si>
  <si>
    <t>Добыча газа, млн м3/год</t>
  </si>
  <si>
    <t>Показатель утилизации, %</t>
  </si>
  <si>
    <t>Объем утилизируемого ПНГ сверх 95%, %</t>
  </si>
  <si>
    <t xml:space="preserve">ЗАПАДНО-АСОМКИНСКОЕ </t>
  </si>
  <si>
    <t xml:space="preserve">    5.1. Поставка ПНГ ООО «РН-Юганскнефтегаз», млн.м3</t>
  </si>
  <si>
    <t xml:space="preserve">      5.2. Собствен. нужды,   млн.м3</t>
  </si>
  <si>
    <t xml:space="preserve">                      Газ на ГПЭС</t>
  </si>
  <si>
    <t xml:space="preserve">          5.2.3.  Газ на факел (продувка, дежурное горение)</t>
  </si>
  <si>
    <t>GWPCH4</t>
  </si>
  <si>
    <t>wCH4,y</t>
  </si>
  <si>
    <t>Количество единиц оборудования различных типов на трубопроводе ПНГ от ДНС-2 Западно-Асомкинского месторождения принято согласно данным предприятия</t>
  </si>
  <si>
    <t>Тип оборудования</t>
  </si>
  <si>
    <t>ЗРА</t>
  </si>
  <si>
    <t>Фланцы</t>
  </si>
  <si>
    <t>Свеча рассеивания</t>
  </si>
  <si>
    <t>— потенциал глобального потепления для метана, принимается по распоряжению Правительства РФ от 22.10.2021 № 2979-р.  GWPCH4 = 28</t>
  </si>
  <si>
    <t>— время работы оборудования, ч, принято согласно данным предприятия (см. таблицу ниже)</t>
  </si>
  <si>
    <t>Расчет фугитивных выбросов метана от транспортировки ПНГ приведен в таблице:</t>
  </si>
  <si>
    <t xml:space="preserve">Время работы оборудования,  ч/год </t>
  </si>
  <si>
    <t>Пересчет из мольных процентов в массовые</t>
  </si>
  <si>
    <t>Молярные массы компонентов, г/моль</t>
  </si>
  <si>
    <t>Содержание компонента, % массовый</t>
  </si>
  <si>
    <t>Средняя массовая доля метана в ПНГ, т СН4/т ПНГ</t>
  </si>
  <si>
    <t>— фугитивные выбросы CH4 по сценарию проектной линии от транспортировки ПНГ, т CO2-экв/год</t>
  </si>
  <si>
    <t>т СО2-экв./год</t>
  </si>
  <si>
    <t>— средняя массовая доля метана в попутном газе в год y, т CH4/т ПНГ, принимается аналогично расчетам базовой линии;</t>
  </si>
  <si>
    <t>PET,CH4,y</t>
  </si>
  <si>
    <t>Фугитивные выбросы CH4 по проектной линии от транспортировки ПНГ на установку конечного использования приведены в таблице, т CO2-экв</t>
  </si>
  <si>
    <t>Расчет неопределенности коэффициента выбросов ПГ по протоколам состава газа</t>
  </si>
  <si>
    <t>Таблица усредненного состава ПНГ</t>
  </si>
  <si>
    <t>Неопределенность проектной линии рассчитана по формуле:</t>
  </si>
  <si>
    <t xml:space="preserve">Неопределенность данных о производственной деятельности согласно Части 2 Национального доклада о кадастре антропогенных выбросов парниковых газов из источников и их абсорбции поглотителями за 1990 – 2023 гг. (стр. 13 для транспорта ПНГ, метан)
</t>
  </si>
  <si>
    <t>Неопределенность данных о производственной деятельности. Рассчитана по типу В исходя из погрешности счетчика КТМ 100 РУС - 5% (консервативный подход)</t>
  </si>
  <si>
    <t xml:space="preserve">Неопределенность коэффициентов выбросов (параметров оценки) согласно Части 2 Национального доклада о кадастре антропогенных выбросов парниковых газов из источников и их абсорбции поглотителями за 1990 – 2023 гг. (стр. 13)
</t>
  </si>
  <si>
    <t>Неопределенность по проектной линии составит</t>
  </si>
  <si>
    <t>Неопределенность сокращения выбросов ПГ определена по формуле</t>
  </si>
  <si>
    <t xml:space="preserve">Базовая линия </t>
  </si>
  <si>
    <t>Показатель</t>
  </si>
  <si>
    <t>Неопределенность показателя</t>
  </si>
  <si>
    <t>Проектная линия</t>
  </si>
  <si>
    <t>(С)</t>
  </si>
  <si>
    <t>(с)</t>
  </si>
  <si>
    <t>(D)</t>
  </si>
  <si>
    <t>(d)</t>
  </si>
  <si>
    <t>Сокращение выбросов ПГ</t>
  </si>
  <si>
    <t>(Е)</t>
  </si>
  <si>
    <t>(е)</t>
  </si>
  <si>
    <t>Неопределенность сокращения выбросов ПГ составит</t>
  </si>
  <si>
    <t>Объем утилизируемого ПНГ сверх 95%, млн м3</t>
  </si>
  <si>
    <t>Лист 3. Расчет сокращения выбросов ПГ</t>
  </si>
  <si>
    <t>Лист 1. Расчет выбросов ПГ по базовой линии</t>
  </si>
  <si>
    <t>Лист 2. Расчет выбросов ПГ по проектной линии</t>
  </si>
  <si>
    <t>Лист 4. Расчет усредненного состава ПНГ по протоколам измерения состава</t>
  </si>
  <si>
    <t xml:space="preserve">Лист 5. Расчет объема ПНГ сверх 95%-ной утилизации </t>
  </si>
  <si>
    <t>Приложение 2 к климатическму проекту "Строительство газотранспортной системы Западно-Асомкинского месторождения"</t>
  </si>
  <si>
    <t>Параметр</t>
  </si>
  <si>
    <t>ед.измер.</t>
  </si>
  <si>
    <t>2025(12)</t>
  </si>
  <si>
    <t>2026(12)</t>
  </si>
  <si>
    <t>2027(12)</t>
  </si>
  <si>
    <t>2028(12)</t>
  </si>
  <si>
    <t>2029(12)</t>
  </si>
  <si>
    <t>2030(12)</t>
  </si>
  <si>
    <t>2031(12)</t>
  </si>
  <si>
    <t>2032(12)</t>
  </si>
  <si>
    <t>млн.м3</t>
  </si>
  <si>
    <t>𝐹𝐶𝐹,𝑦 = 𝐹𝐶𝐹′ ,𝑦 × 𝑁𝐶𝑉𝑦 × 10−3</t>
  </si>
  <si>
    <t>FC'</t>
  </si>
  <si>
    <t>NCV</t>
  </si>
  <si>
    <t>мДж/м3</t>
  </si>
  <si>
    <t>ТДж</t>
  </si>
  <si>
    <t>Вычисляем выбросы парниковых газов по базовой линии</t>
  </si>
  <si>
    <t>𝐵𝐸𝑦 = 𝐹𝐶𝐹,𝑦 × 𝐸𝐹𝐶𝑂2,𝑀𝑒𝑡ℎ𝑎𝑛𝑒 × 𝑂𝐹𝐹,𝑦</t>
  </si>
  <si>
    <t>W i,j,y - объемная доля (молярная доля) i-компонента газообразного топлива j за период у, % об.</t>
  </si>
  <si>
    <t>nc - количество атомов углерода</t>
  </si>
  <si>
    <t>Wi,j,y * nci</t>
  </si>
  <si>
    <t>СУММА</t>
  </si>
  <si>
    <t>р - плотность СО2 (при 0С), кг/м3</t>
  </si>
  <si>
    <t>Согласно п.1.6 приложения 2 Приказа 371, при проведении расчетов за год в качестве условий измерений принимается среднегодовая температура.</t>
  </si>
  <si>
    <t>EFco2,j,y</t>
  </si>
  <si>
    <t>т СО2 / тыс. м3</t>
  </si>
  <si>
    <t>Переводим  EFco2,j,y из т СО2 / тыс. м3 в тСО2 / ТДж</t>
  </si>
  <si>
    <t>т СО2/ТДж</t>
  </si>
  <si>
    <t>Сумма за 10 лет</t>
  </si>
  <si>
    <t>Среднее по годам</t>
  </si>
  <si>
    <t>ВЕ, тСО2 экв</t>
  </si>
  <si>
    <t>т СО2 экв</t>
  </si>
  <si>
    <t>Базовые выбросы ПГ тCO2-экв./год (BE y)</t>
  </si>
  <si>
    <t>2034 год</t>
  </si>
  <si>
    <t>2033(12)</t>
  </si>
  <si>
    <t>2034(3)</t>
  </si>
  <si>
    <t>2024(9)</t>
  </si>
  <si>
    <t>* Не использовали данные протоколы в рассчетах, поскольку для них невозможно консервативно оценить количество углеводородов С6</t>
  </si>
  <si>
    <t>изобутан (2-Метилпропан)</t>
  </si>
  <si>
    <t>изопентан (2-Метилбутан)</t>
  </si>
  <si>
    <t>Данные о низшей теплоте сгорания (исторические 2021-2025 гг)</t>
  </si>
  <si>
    <t>Молярная концентрация, %</t>
  </si>
  <si>
    <t>2024 (апрель - декабрь)</t>
  </si>
  <si>
    <t>2033</t>
  </si>
  <si>
    <t>2034(январь - март)</t>
  </si>
  <si>
    <t>(1)</t>
  </si>
  <si>
    <t>(2)</t>
  </si>
  <si>
    <t>NCV Низшая объемная теплота сгорания, МДж/м3 (см. вкладку Состав ПНГ)</t>
  </si>
  <si>
    <t>FC' - Объем ПНГ (свыше 95 %)</t>
  </si>
  <si>
    <t xml:space="preserve">ВЕ за вычетом 5% (консервативный подход согласно п. 3 раздела III М0014) </t>
  </si>
  <si>
    <t>Согласно формуле3 Методологии 0014 выбросы ПГ по проектной линии составляют:</t>
  </si>
  <si>
    <t>РЕсжиг,у</t>
  </si>
  <si>
    <t>РЕ э/п, у</t>
  </si>
  <si>
    <t>РЕфуг, у</t>
  </si>
  <si>
    <t>РЕсжиг,у = 0</t>
  </si>
  <si>
    <t>РЕ э/п, у = 0</t>
  </si>
  <si>
    <t>Выбросы СО2 по проектному сценарию в результате потребления ископаемого топлива для извлечения, предварительной обработки, транспортировки и, если применимо, компримирования извлеченного газа, т СО2-экв</t>
  </si>
  <si>
    <t>Выбросы СО2 по проектному сценарию в результате потребления электроэнергии для извлечения, предварительной обработки, транспортировки и, если применимо, компримирования извлеченного газа, т СО2-экв</t>
  </si>
  <si>
    <t xml:space="preserve">Согласно разделу VII Методологии 0014 расчет суммарных утечек должен осуществляться в соответствии с действующими
методиками расчета выбросов вредных веществ в окружающую среду от неорганизованных
источников нефтегазового оборудования .
</t>
  </si>
  <si>
    <t>Фугитивные выбросы метана от транспортировки ПНГ были рассчитаны по формуле 5 методологии CDM AM0037 "Сокращение выбросов в факелах и использование газа из нефтяных скважин в качестве сырья"</t>
  </si>
  <si>
    <t>Выбросы СО2 по проектному сценарию в результате потребления ископаемого топлива для извлечения, предварительной обработки, транспортировки и, если применимо, компримирования извлеченного газа, т СО2-экв
РЕсжиг,у</t>
  </si>
  <si>
    <t>Выбросы СО2 по проектному сценарию в результате потребления электроэнергии для извлечения, предварительной обработки, транспортировки и, если применимо, компримирования извлеченного газа, т СО2-экв
РЕ э/п, у</t>
  </si>
  <si>
    <t>Утечки в результате извлечения, предварительной подготовки, промыслового транспорта и, если применимо, компримирования извлеченного газа, т СО2-экв
РЕфуг, у</t>
  </si>
  <si>
    <t>01.04.2024-31.12.2024</t>
  </si>
  <si>
    <t>Период</t>
  </si>
  <si>
    <t>01.01.2034-31.03.2034</t>
  </si>
  <si>
    <r>
      <t xml:space="preserve">Проектные выбросы в год y, т CO2-экв/год
</t>
    </r>
    <r>
      <rPr>
        <i/>
        <sz val="14"/>
        <color theme="1"/>
        <rFont val="Times New Roman"/>
        <family val="1"/>
        <charset val="204"/>
      </rPr>
      <t>PEy</t>
    </r>
  </si>
  <si>
    <r>
      <t xml:space="preserve">Выбросы ПГ по базовой линии, т СО2-экв./год
</t>
    </r>
    <r>
      <rPr>
        <i/>
        <sz val="14"/>
        <color theme="1"/>
        <rFont val="Times New Roman"/>
        <family val="1"/>
        <charset val="204"/>
      </rPr>
      <t>BЕy</t>
    </r>
  </si>
  <si>
    <r>
      <t xml:space="preserve">Выбросы по проектному сценарию в год y, т CO2-экв./год
</t>
    </r>
    <r>
      <rPr>
        <i/>
        <sz val="14"/>
        <color theme="1"/>
        <rFont val="Times New Roman"/>
        <family val="1"/>
        <charset val="204"/>
      </rPr>
      <t>PEy</t>
    </r>
  </si>
  <si>
    <r>
      <t xml:space="preserve">Сокращение выбросов в течение года y, т CO2-экв./год
</t>
    </r>
    <r>
      <rPr>
        <i/>
        <sz val="14"/>
        <color theme="1"/>
        <rFont val="Times New Roman"/>
        <family val="1"/>
        <charset val="204"/>
      </rPr>
      <t>ERy</t>
    </r>
  </si>
  <si>
    <t>FC</t>
  </si>
  <si>
    <t xml:space="preserve"> NCV Низшая теплота сгорания ПНГ (объемная), МДж/м3</t>
  </si>
  <si>
    <t>FC, ТДж</t>
  </si>
  <si>
    <t>углеводороды С6 (гексаны+)</t>
  </si>
  <si>
    <t>FC объем ПНГ, ТДж</t>
  </si>
  <si>
    <t>EFco2, т СО2/ТДж</t>
  </si>
  <si>
    <t>Базовые выбросы ПГ до корректировки, т СО2</t>
  </si>
  <si>
    <t>— коэффициент выбросов для соответствующего типа оборудования, кг CH4/час/оборудование, принято по таблице 4 АМ0037;</t>
  </si>
  <si>
    <r>
      <t>x</t>
    </r>
    <r>
      <rPr>
        <vertAlign val="subscript"/>
        <sz val="11"/>
        <rFont val="Calibri"/>
        <family val="2"/>
        <charset val="204"/>
        <scheme val="minor"/>
      </rPr>
      <t>j</t>
    </r>
  </si>
  <si>
    <t>молярная масса j-того компонента</t>
  </si>
  <si>
    <r>
      <t>b</t>
    </r>
    <r>
      <rPr>
        <vertAlign val="subscript"/>
        <sz val="11"/>
        <rFont val="Calibri"/>
        <family val="2"/>
        <charset val="204"/>
        <scheme val="minor"/>
      </rPr>
      <t>j</t>
    </r>
  </si>
  <si>
    <r>
      <t>L</t>
    </r>
    <r>
      <rPr>
        <vertAlign val="superscript"/>
        <sz val="11"/>
        <rFont val="Calibri"/>
        <family val="2"/>
        <charset val="204"/>
        <scheme val="minor"/>
      </rPr>
      <t>o</t>
    </r>
    <r>
      <rPr>
        <sz val="11"/>
        <rFont val="Calibri"/>
        <family val="2"/>
        <charset val="204"/>
        <scheme val="minor"/>
      </rPr>
      <t>(t</t>
    </r>
    <r>
      <rPr>
        <vertAlign val="subscript"/>
        <sz val="11"/>
        <rFont val="Calibri"/>
        <family val="2"/>
        <charset val="204"/>
        <scheme val="minor"/>
      </rPr>
      <t>1</t>
    </r>
    <r>
      <rPr>
        <sz val="11"/>
        <rFont val="Calibri"/>
        <family val="2"/>
        <charset val="204"/>
        <scheme val="minor"/>
      </rPr>
      <t>)</t>
    </r>
  </si>
  <si>
    <t>R</t>
  </si>
  <si>
    <t>абсолютная температура</t>
  </si>
  <si>
    <r>
      <t>T</t>
    </r>
    <r>
      <rPr>
        <vertAlign val="subscript"/>
        <sz val="11"/>
        <rFont val="Calibri"/>
        <family val="2"/>
        <charset val="204"/>
        <scheme val="minor"/>
      </rPr>
      <t>2</t>
    </r>
  </si>
  <si>
    <r>
      <t>(Hv)</t>
    </r>
    <r>
      <rPr>
        <vertAlign val="subscript"/>
        <sz val="11"/>
        <rFont val="Calibri"/>
        <family val="2"/>
        <charset val="204"/>
        <scheme val="minor"/>
      </rPr>
      <t>N</t>
    </r>
    <r>
      <rPr>
        <sz val="11"/>
        <rFont val="Calibri"/>
        <family val="2"/>
        <charset val="204"/>
        <scheme val="minor"/>
      </rPr>
      <t>(t</t>
    </r>
    <r>
      <rPr>
        <vertAlign val="subscript"/>
        <sz val="11"/>
        <rFont val="Calibri"/>
        <family val="2"/>
        <charset val="204"/>
        <scheme val="minor"/>
      </rPr>
      <t>1</t>
    </r>
    <r>
      <rPr>
        <sz val="11"/>
        <rFont val="Calibri"/>
        <family val="2"/>
        <charset val="204"/>
        <scheme val="minor"/>
      </rPr>
      <t>,t</t>
    </r>
    <r>
      <rPr>
        <vertAlign val="sub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>,p</t>
    </r>
    <r>
      <rPr>
        <vertAlign val="sub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>)</t>
    </r>
  </si>
  <si>
    <r>
      <t>(Нс)</t>
    </r>
    <r>
      <rPr>
        <vertAlign val="superscript"/>
        <sz val="11"/>
        <rFont val="Calibri"/>
        <family val="2"/>
        <charset val="204"/>
        <scheme val="minor"/>
      </rPr>
      <t>o</t>
    </r>
    <r>
      <rPr>
        <vertAlign val="subscript"/>
        <sz val="11"/>
        <rFont val="Calibri"/>
        <family val="2"/>
        <charset val="204"/>
        <scheme val="minor"/>
      </rPr>
      <t>N</t>
    </r>
    <r>
      <rPr>
        <sz val="11"/>
        <rFont val="Calibri"/>
        <family val="2"/>
        <charset val="204"/>
        <scheme val="minor"/>
      </rPr>
      <t>(t</t>
    </r>
    <r>
      <rPr>
        <vertAlign val="subscript"/>
        <sz val="11"/>
        <rFont val="Calibri"/>
        <family val="2"/>
        <charset val="204"/>
        <scheme val="minor"/>
      </rPr>
      <t>1</t>
    </r>
    <r>
      <rPr>
        <sz val="11"/>
        <rFont val="Calibri"/>
        <family val="2"/>
        <charset val="204"/>
        <scheme val="minor"/>
      </rPr>
      <t>)</t>
    </r>
  </si>
  <si>
    <t>V</t>
  </si>
  <si>
    <t>Низшая объемная теплота сгорания реального газа</t>
  </si>
  <si>
    <t>низшая молряная теплота сгорания смеси реальных газов</t>
  </si>
  <si>
    <t>молярный объем смеси реальных газов</t>
  </si>
  <si>
    <r>
      <t>(Нс)</t>
    </r>
    <r>
      <rPr>
        <vertAlign val="superscript"/>
        <sz val="11"/>
        <rFont val="Calibri"/>
        <family val="2"/>
        <charset val="204"/>
        <scheme val="minor"/>
      </rPr>
      <t>0</t>
    </r>
    <r>
      <rPr>
        <vertAlign val="subscript"/>
        <sz val="11"/>
        <rFont val="Calibri"/>
        <family val="2"/>
        <charset val="204"/>
        <scheme val="minor"/>
      </rPr>
      <t>G</t>
    </r>
    <r>
      <rPr>
        <sz val="11"/>
        <rFont val="Calibri"/>
        <family val="2"/>
        <charset val="204"/>
        <scheme val="minor"/>
      </rPr>
      <t>(t</t>
    </r>
    <r>
      <rPr>
        <vertAlign val="subscript"/>
        <sz val="11"/>
        <rFont val="Calibri"/>
        <family val="2"/>
        <charset val="204"/>
        <scheme val="minor"/>
      </rPr>
      <t>1</t>
    </r>
    <r>
      <rPr>
        <sz val="11"/>
        <rFont val="Calibri"/>
        <family val="2"/>
        <charset val="204"/>
        <scheme val="minor"/>
      </rPr>
      <t>)</t>
    </r>
  </si>
  <si>
    <r>
      <t>[(Нс)</t>
    </r>
    <r>
      <rPr>
        <vertAlign val="superscript"/>
        <sz val="11"/>
        <rFont val="Calibri"/>
        <family val="2"/>
        <charset val="204"/>
        <scheme val="minor"/>
      </rPr>
      <t>0</t>
    </r>
    <r>
      <rPr>
        <vertAlign val="subscript"/>
        <sz val="11"/>
        <rFont val="Calibri"/>
        <family val="2"/>
        <charset val="204"/>
        <scheme val="minor"/>
      </rPr>
      <t>G</t>
    </r>
    <r>
      <rPr>
        <sz val="11"/>
        <rFont val="Calibri"/>
        <family val="2"/>
        <charset val="204"/>
        <scheme val="minor"/>
      </rPr>
      <t>]</t>
    </r>
    <r>
      <rPr>
        <vertAlign val="subscript"/>
        <sz val="11"/>
        <rFont val="Calibri"/>
        <family val="2"/>
        <charset val="204"/>
        <scheme val="minor"/>
      </rPr>
      <t>j</t>
    </r>
    <r>
      <rPr>
        <sz val="11"/>
        <rFont val="Calibri"/>
        <family val="2"/>
        <charset val="204"/>
        <scheme val="minor"/>
      </rPr>
      <t>(t</t>
    </r>
    <r>
      <rPr>
        <vertAlign val="subscript"/>
        <sz val="11"/>
        <rFont val="Calibri"/>
        <family val="2"/>
        <charset val="204"/>
        <scheme val="minor"/>
      </rPr>
      <t>1</t>
    </r>
    <r>
      <rPr>
        <sz val="11"/>
        <rFont val="Calibri"/>
        <family val="2"/>
        <charset val="204"/>
        <scheme val="minor"/>
      </rPr>
      <t>)</t>
    </r>
  </si>
  <si>
    <t>высшая молярная теплота сгорания смеси реальных газов</t>
  </si>
  <si>
    <r>
      <t>высшая молярная теплота сгорания идеального газа j-того компонента, по таблице 3 ГОСТ (для 0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>)</t>
    </r>
  </si>
  <si>
    <t>универсальная газовая постоянная (приложение А.1 ГОСТ)</t>
  </si>
  <si>
    <r>
      <t>Z(t</t>
    </r>
    <r>
      <rPr>
        <vertAlign val="sub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>,p</t>
    </r>
    <r>
      <rPr>
        <vertAlign val="sub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>)</t>
    </r>
  </si>
  <si>
    <t>коэффициент сжимаемости при стандартных условиях</t>
  </si>
  <si>
    <t>стандартное давление (кПа)</t>
  </si>
  <si>
    <t>101,325 кПа</t>
  </si>
  <si>
    <r>
      <t>p</t>
    </r>
    <r>
      <rPr>
        <vertAlign val="subscript"/>
        <sz val="11"/>
        <rFont val="Calibri"/>
        <family val="2"/>
        <charset val="204"/>
        <scheme val="minor"/>
      </rPr>
      <t>2</t>
    </r>
  </si>
  <si>
    <r>
      <t>p</t>
    </r>
    <r>
      <rPr>
        <vertAlign val="subscript"/>
        <sz val="11"/>
        <rFont val="Calibri"/>
        <family val="2"/>
        <charset val="204"/>
        <scheme val="minor"/>
      </rPr>
      <t>0</t>
    </r>
  </si>
  <si>
    <t>коэффициент суммирования, по таблице 2 ГОСТ</t>
  </si>
  <si>
    <r>
      <t>s</t>
    </r>
    <r>
      <rPr>
        <vertAlign val="subscript"/>
        <sz val="11"/>
        <rFont val="Calibri"/>
        <family val="2"/>
        <charset val="204"/>
        <scheme val="minor"/>
      </rPr>
      <t>j</t>
    </r>
    <r>
      <rPr>
        <sz val="11"/>
        <rFont val="Calibri"/>
        <family val="2"/>
        <charset val="204"/>
        <scheme val="minor"/>
      </rPr>
      <t>(t</t>
    </r>
    <r>
      <rPr>
        <vertAlign val="sub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>,p</t>
    </r>
    <r>
      <rPr>
        <vertAlign val="subscript"/>
        <sz val="11"/>
        <rFont val="Calibri"/>
        <family val="2"/>
        <charset val="204"/>
        <scheme val="minor"/>
      </rPr>
      <t>0</t>
    </r>
    <r>
      <rPr>
        <sz val="11"/>
        <rFont val="Calibri"/>
        <family val="2"/>
        <charset val="204"/>
        <scheme val="minor"/>
      </rPr>
      <t>)</t>
    </r>
  </si>
  <si>
    <r>
      <t>[(Нс)</t>
    </r>
    <r>
      <rPr>
        <vertAlign val="superscript"/>
        <sz val="11"/>
        <rFont val="Calibri"/>
        <family val="2"/>
        <charset val="204"/>
        <scheme val="minor"/>
      </rPr>
      <t>0</t>
    </r>
    <r>
      <rPr>
        <vertAlign val="subscript"/>
        <sz val="11"/>
        <rFont val="Calibri"/>
        <family val="2"/>
        <charset val="204"/>
        <scheme val="minor"/>
      </rPr>
      <t>G</t>
    </r>
    <r>
      <rPr>
        <sz val="11"/>
        <rFont val="Calibri"/>
        <family val="2"/>
        <charset val="204"/>
        <scheme val="minor"/>
      </rPr>
      <t>]</t>
    </r>
    <r>
      <rPr>
        <vertAlign val="subscript"/>
        <sz val="11"/>
        <rFont val="Calibri"/>
        <family val="2"/>
        <charset val="204"/>
        <scheme val="minor"/>
      </rPr>
      <t>j</t>
    </r>
    <r>
      <rPr>
        <sz val="11"/>
        <rFont val="Calibri"/>
        <family val="2"/>
        <charset val="204"/>
        <scheme val="minor"/>
      </rPr>
      <t>(t</t>
    </r>
    <r>
      <rPr>
        <vertAlign val="subscript"/>
        <sz val="11"/>
        <rFont val="Calibri"/>
        <family val="2"/>
        <charset val="204"/>
        <scheme val="minor"/>
      </rPr>
      <t>1</t>
    </r>
    <r>
      <rPr>
        <sz val="11"/>
        <rFont val="Calibri"/>
        <family val="2"/>
        <charset val="204"/>
        <scheme val="minor"/>
      </rPr>
      <t>) - высш. молярная теплота сгорания ид. газа j-того компонента</t>
    </r>
  </si>
  <si>
    <r>
      <t>x</t>
    </r>
    <r>
      <rPr>
        <vertAlign val="subscript"/>
        <sz val="11"/>
        <rFont val="Calibri"/>
        <family val="2"/>
        <charset val="204"/>
        <scheme val="minor"/>
      </rPr>
      <t>j</t>
    </r>
    <r>
      <rPr>
        <sz val="11"/>
        <rFont val="Calibri"/>
        <family val="2"/>
        <charset val="204"/>
        <scheme val="minor"/>
      </rPr>
      <t>*[(Нс)</t>
    </r>
    <r>
      <rPr>
        <vertAlign val="superscript"/>
        <sz val="11"/>
        <rFont val="Calibri"/>
        <family val="2"/>
        <charset val="204"/>
        <scheme val="minor"/>
      </rPr>
      <t>0</t>
    </r>
    <r>
      <rPr>
        <vertAlign val="subscript"/>
        <sz val="11"/>
        <rFont val="Calibri"/>
        <family val="2"/>
        <charset val="204"/>
        <scheme val="minor"/>
      </rPr>
      <t>G</t>
    </r>
    <r>
      <rPr>
        <sz val="11"/>
        <rFont val="Calibri"/>
        <family val="2"/>
        <charset val="204"/>
        <scheme val="minor"/>
      </rPr>
      <t>]</t>
    </r>
    <r>
      <rPr>
        <vertAlign val="subscript"/>
        <sz val="11"/>
        <rFont val="Calibri"/>
        <family val="2"/>
        <charset val="204"/>
        <scheme val="minor"/>
      </rPr>
      <t>j</t>
    </r>
    <r>
      <rPr>
        <sz val="11"/>
        <rFont val="Calibri"/>
        <family val="2"/>
        <charset val="204"/>
        <scheme val="minor"/>
      </rPr>
      <t>(t</t>
    </r>
    <r>
      <rPr>
        <vertAlign val="subscript"/>
        <sz val="11"/>
        <rFont val="Calibri"/>
        <family val="2"/>
        <charset val="204"/>
        <scheme val="minor"/>
      </rPr>
      <t>1</t>
    </r>
    <r>
      <rPr>
        <sz val="11"/>
        <rFont val="Calibri"/>
        <family val="2"/>
        <charset val="204"/>
        <scheme val="minor"/>
      </rPr>
      <t>)</t>
    </r>
  </si>
  <si>
    <t>число атомов водорода в каждой молекуле j-того компонента (водородный индекс), по таблице 1 ГОСТ</t>
  </si>
  <si>
    <r>
      <t>стандартная энтальпия испарения воды при t</t>
    </r>
    <r>
      <rPr>
        <vertAlign val="subscript"/>
        <sz val="11"/>
        <rFont val="Calibri"/>
        <family val="2"/>
        <charset val="204"/>
        <scheme val="minor"/>
      </rPr>
      <t>1</t>
    </r>
    <r>
      <rPr>
        <sz val="11"/>
        <rFont val="Calibri"/>
        <family val="2"/>
        <charset val="204"/>
        <scheme val="minor"/>
      </rPr>
      <t>, по приложению А ГОСТ</t>
    </r>
  </si>
  <si>
    <r>
      <t>Дж*моль</t>
    </r>
    <r>
      <rPr>
        <vertAlign val="superscript"/>
        <sz val="11"/>
        <rFont val="Calibri"/>
        <family val="2"/>
        <charset val="204"/>
        <scheme val="minor"/>
      </rPr>
      <t>-1</t>
    </r>
    <r>
      <rPr>
        <sz val="11"/>
        <rFont val="Calibri"/>
        <family val="2"/>
        <charset val="204"/>
        <scheme val="minor"/>
      </rPr>
      <t>*К</t>
    </r>
    <r>
      <rPr>
        <vertAlign val="superscript"/>
        <sz val="11"/>
        <rFont val="Calibri"/>
        <family val="2"/>
        <charset val="204"/>
        <scheme val="minor"/>
      </rPr>
      <t>-1</t>
    </r>
  </si>
  <si>
    <r>
      <t>кДж*моль</t>
    </r>
    <r>
      <rPr>
        <vertAlign val="superscript"/>
        <sz val="11"/>
        <rFont val="Calibri"/>
        <family val="2"/>
        <charset val="204"/>
        <scheme val="minor"/>
      </rPr>
      <t>-1</t>
    </r>
  </si>
  <si>
    <r>
      <t>x</t>
    </r>
    <r>
      <rPr>
        <vertAlign val="subscript"/>
        <sz val="11"/>
        <rFont val="Calibri"/>
        <family val="2"/>
        <charset val="204"/>
        <scheme val="minor"/>
      </rPr>
      <t>j</t>
    </r>
    <r>
      <rPr>
        <sz val="11"/>
        <rFont val="Calibri"/>
        <family val="2"/>
        <charset val="204"/>
        <scheme val="minor"/>
      </rPr>
      <t>*(b</t>
    </r>
    <r>
      <rPr>
        <vertAlign val="subscript"/>
        <sz val="11"/>
        <rFont val="Calibri"/>
        <family val="2"/>
        <charset val="204"/>
        <scheme val="minor"/>
      </rPr>
      <t>j</t>
    </r>
    <r>
      <rPr>
        <sz val="11"/>
        <rFont val="Calibri"/>
        <family val="2"/>
        <charset val="204"/>
        <scheme val="minor"/>
      </rPr>
      <t>/2)*L</t>
    </r>
    <r>
      <rPr>
        <vertAlign val="superscript"/>
        <sz val="11"/>
        <rFont val="Calibri"/>
        <family val="2"/>
        <charset val="204"/>
        <scheme val="minor"/>
      </rPr>
      <t>o</t>
    </r>
    <r>
      <rPr>
        <sz val="11"/>
        <rFont val="Calibri"/>
        <family val="2"/>
        <charset val="204"/>
        <scheme val="minor"/>
      </rPr>
      <t>(t</t>
    </r>
    <r>
      <rPr>
        <vertAlign val="subscript"/>
        <sz val="11"/>
        <rFont val="Calibri"/>
        <family val="2"/>
        <charset val="204"/>
        <scheme val="minor"/>
      </rPr>
      <t>1</t>
    </r>
    <r>
      <rPr>
        <sz val="11"/>
        <rFont val="Calibri"/>
        <family val="2"/>
        <charset val="204"/>
        <scheme val="minor"/>
      </rPr>
      <t>)</t>
    </r>
  </si>
  <si>
    <t>кПа</t>
  </si>
  <si>
    <t>К</t>
  </si>
  <si>
    <r>
      <t>x</t>
    </r>
    <r>
      <rPr>
        <vertAlign val="subscript"/>
        <sz val="11"/>
        <rFont val="Calibri"/>
        <family val="2"/>
        <charset val="204"/>
        <scheme val="minor"/>
      </rPr>
      <t>j</t>
    </r>
    <r>
      <rPr>
        <sz val="11"/>
        <rFont val="Calibri"/>
        <family val="2"/>
        <charset val="204"/>
        <scheme val="minor"/>
      </rPr>
      <t>*s</t>
    </r>
    <r>
      <rPr>
        <vertAlign val="subscript"/>
        <sz val="11"/>
        <rFont val="Calibri"/>
        <family val="2"/>
        <charset val="204"/>
        <scheme val="minor"/>
      </rPr>
      <t>j</t>
    </r>
    <r>
      <rPr>
        <sz val="11"/>
        <rFont val="Calibri"/>
        <family val="2"/>
        <charset val="204"/>
        <scheme val="minor"/>
      </rPr>
      <t>(t</t>
    </r>
    <r>
      <rPr>
        <vertAlign val="sub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>,p</t>
    </r>
    <r>
      <rPr>
        <vertAlign val="subscript"/>
        <sz val="11"/>
        <rFont val="Calibri"/>
        <family val="2"/>
        <charset val="204"/>
        <scheme val="minor"/>
      </rPr>
      <t>0</t>
    </r>
    <r>
      <rPr>
        <sz val="11"/>
        <rFont val="Calibri"/>
        <family val="2"/>
        <charset val="204"/>
        <scheme val="minor"/>
      </rPr>
      <t>)</t>
    </r>
  </si>
  <si>
    <t>=</t>
  </si>
  <si>
    <t xml:space="preserve">V </t>
  </si>
  <si>
    <t>Расчет низшей теплоты сгорания ПНГ в соответствии с ГОСТ 31369-2021</t>
  </si>
  <si>
    <t>Низшая объемная теплота сгорания, МДж/м3</t>
  </si>
  <si>
    <r>
      <t>7.  Коэфф. использования (K</t>
    </r>
    <r>
      <rPr>
        <b/>
        <sz val="9"/>
        <rFont val="Times New Roman"/>
        <family val="1"/>
        <charset val="204"/>
      </rPr>
      <t>ут</t>
    </r>
    <r>
      <rPr>
        <b/>
        <sz val="11"/>
        <rFont val="Times New Roman"/>
        <family val="1"/>
        <charset val="204"/>
      </rPr>
      <t>)</t>
    </r>
  </si>
  <si>
    <r>
      <t>3. Ресурсы.газа,(добыча газа)  (V</t>
    </r>
    <r>
      <rPr>
        <b/>
        <sz val="9"/>
        <rFont val="Times New Roman"/>
        <family val="1"/>
        <charset val="204"/>
      </rPr>
      <t>доб</t>
    </r>
    <r>
      <rPr>
        <b/>
        <sz val="11"/>
        <rFont val="Times New Roman"/>
        <family val="1"/>
        <charset val="204"/>
      </rPr>
      <t>), млн.м3</t>
    </r>
  </si>
  <si>
    <r>
      <t>4. Использование газа (V</t>
    </r>
    <r>
      <rPr>
        <b/>
        <sz val="9"/>
        <rFont val="Times New Roman"/>
        <family val="1"/>
        <charset val="204"/>
      </rPr>
      <t>исп</t>
    </r>
    <r>
      <rPr>
        <b/>
        <sz val="11"/>
        <rFont val="Times New Roman"/>
        <family val="1"/>
        <charset val="204"/>
      </rPr>
      <t>),   млн.м3</t>
    </r>
  </si>
  <si>
    <t>Начальник отдела по газу</t>
  </si>
  <si>
    <t>К.С. Курдюков</t>
  </si>
  <si>
    <r>
      <t xml:space="preserve">     В том числе газ на факел (V</t>
    </r>
    <r>
      <rPr>
        <sz val="9"/>
        <rFont val="Times New Roman"/>
        <family val="1"/>
        <charset val="204"/>
      </rPr>
      <t>факел</t>
    </r>
    <r>
      <rPr>
        <sz val="11"/>
        <rFont val="Times New Roman"/>
        <family val="1"/>
        <charset val="204"/>
      </rPr>
      <t>), млн.м3</t>
    </r>
  </si>
  <si>
    <t>NCV - значение согласно приказа Минприроды №371 от 27.05.2022г.</t>
  </si>
  <si>
    <t>Сжигание в пределах 5 %</t>
  </si>
  <si>
    <t>Сжигание вне 5 %</t>
  </si>
  <si>
    <r>
      <t>Переводим FC</t>
    </r>
    <r>
      <rPr>
        <b/>
        <sz val="11"/>
        <rFont val="Calibri"/>
        <family val="2"/>
        <charset val="204"/>
        <scheme val="minor"/>
      </rPr>
      <t>′ в FC через среднюю низшую теплоту сгорания (исторические 2021-2025 гг)</t>
    </r>
  </si>
  <si>
    <t>Efequipment_PL</t>
  </si>
  <si>
    <t>t equipment_PL</t>
  </si>
  <si>
    <t>Сумма ∑equipment (i)[Efequipment_PL · t equipment_PL · n equipment_PL]</t>
  </si>
  <si>
    <t>Количество n equipment (i)_PL, шт</t>
  </si>
  <si>
    <t>Время работы оборудования,  ч/год,
t equipment (i)_PL</t>
  </si>
  <si>
    <t xml:space="preserve">Коэффициент выбросов для соответствующего типа оборудования, кг / час / оборудование
Efequipment (i)_PL
</t>
  </si>
  <si>
    <t>Efequipment (i)_PL * t equipment (i)_PL * n equipment(i)_PL</t>
  </si>
  <si>
    <t xml:space="preserve">n equipment_PL </t>
  </si>
  <si>
    <t>i</t>
  </si>
  <si>
    <t>— количество оборудования, шт;</t>
  </si>
  <si>
    <t>— тип оборудования;</t>
  </si>
  <si>
    <t>Поскольку проектная деятельность не связана с потреблением ископаемого топлива PE сжиг., y = 0.</t>
  </si>
  <si>
    <t>Выбросы ПГ от энергии, необходимой для транспортировки ПНГ на установку конечного использования приняты равными нулю: PE э/п., y = 0., поскольку на ГПК транспортируется только ПНГ с первой ступени сепарации, для чего достаточно технологического давления в сепараторах, дополнительной энергии не требуется.</t>
  </si>
  <si>
    <t>Фугитивные выбросы CH4 от транспортировки ПНГ на установку конечного использования, т СО2-экв.</t>
  </si>
  <si>
    <t>Лист 6. Расчет неопределенности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</si>
</sst>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#,##0.000"/>
    <numFmt numFmtId="166" formatCode="0.0000"/>
    <numFmt numFmtId="167" formatCode="0.0"/>
    <numFmt numFmtId="168" formatCode="0.0%"/>
  </numFmts>
  <fonts count="2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b/>
      <sz val="11"/>
      <name val="Calibri"/>
      <family val="2"/>
      <charset val="204"/>
      <scheme val="minor"/>
    </font>
    <font>
      <sz val="12"/>
      <color rgb="FF444444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1"/>
      <name val="Calibri"/>
      <family val="2"/>
      <charset val="204"/>
      <scheme val="minor"/>
    </font>
    <font>
      <vertAlign val="subscript"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" fontId="4" fillId="0" borderId="0">
      <alignment vertical="center"/>
    </xf>
    <xf numFmtId="0" fontId="9" fillId="0" borderId="0"/>
    <xf numFmtId="0" fontId="4" fillId="0" borderId="0"/>
    <xf numFmtId="0" fontId="4" fillId="0" borderId="0"/>
    <xf numFmtId="9" fontId="9" fillId="0" borderId="0" applyFont="0" applyFill="0" applyBorder="0" applyAlignment="0" applyProtection="0"/>
  </cellStyleXfs>
  <cellXfs count="13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/>
    <xf numFmtId="0" fontId="0" fillId="0" borderId="0" xfId="0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0" fillId="0" borderId="6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Font="1"/>
    <xf numFmtId="0" fontId="0" fillId="0" borderId="0" xfId="0" applyFont="1"/>
    <xf numFmtId="2" fontId="5" fillId="0" borderId="0" xfId="1" applyNumberFormat="1" applyFont="1" applyFill="1" applyAlignment="1"/>
    <xf numFmtId="164" fontId="6" fillId="2" borderId="7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>
      <alignment vertical="center"/>
    </xf>
    <xf numFmtId="2" fontId="7" fillId="0" borderId="1" xfId="1" applyNumberFormat="1" applyFont="1" applyFill="1" applyBorder="1">
      <alignment vertical="center"/>
    </xf>
    <xf numFmtId="164" fontId="5" fillId="0" borderId="1" xfId="1" applyNumberFormat="1" applyFont="1" applyFill="1" applyBorder="1">
      <alignment vertical="center"/>
    </xf>
    <xf numFmtId="164" fontId="6" fillId="0" borderId="0" xfId="1" applyNumberFormat="1" applyFont="1" applyFill="1" applyAlignment="1">
      <alignment vertical="center"/>
    </xf>
    <xf numFmtId="2" fontId="6" fillId="0" borderId="0" xfId="1" applyNumberFormat="1" applyFont="1" applyFill="1" applyAlignment="1"/>
    <xf numFmtId="164" fontId="6" fillId="3" borderId="8" xfId="1" applyNumberFormat="1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9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1" fillId="0" borderId="0" xfId="0" applyFont="1" applyFill="1" applyBorder="1"/>
    <xf numFmtId="1" fontId="0" fillId="0" borderId="0" xfId="0" applyNumberFormat="1"/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0" fillId="0" borderId="0" xfId="0" applyFont="1"/>
    <xf numFmtId="0" fontId="0" fillId="0" borderId="10" xfId="0" applyBorder="1" applyAlignment="1"/>
    <xf numFmtId="0" fontId="0" fillId="0" borderId="11" xfId="0" applyBorder="1" applyAlignment="1"/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49" fontId="11" fillId="4" borderId="1" xfId="0" applyNumberFormat="1" applyFont="1" applyFill="1" applyBorder="1" applyAlignment="1">
      <alignment horizontal="center"/>
    </xf>
    <xf numFmtId="4" fontId="11" fillId="0" borderId="1" xfId="0" applyNumberFormat="1" applyFont="1" applyBorder="1"/>
    <xf numFmtId="0" fontId="0" fillId="0" borderId="1" xfId="0" applyFill="1" applyBorder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164" fontId="0" fillId="0" borderId="1" xfId="0" applyNumberFormat="1" applyBorder="1"/>
    <xf numFmtId="2" fontId="13" fillId="0" borderId="1" xfId="0" applyNumberFormat="1" applyFont="1" applyBorder="1"/>
    <xf numFmtId="2" fontId="1" fillId="0" borderId="0" xfId="0" applyNumberFormat="1" applyFont="1"/>
    <xf numFmtId="0" fontId="13" fillId="0" borderId="0" xfId="0" applyFont="1"/>
    <xf numFmtId="166" fontId="0" fillId="0" borderId="0" xfId="0" applyNumberFormat="1"/>
    <xf numFmtId="164" fontId="0" fillId="0" borderId="0" xfId="0" applyNumberFormat="1"/>
    <xf numFmtId="0" fontId="1" fillId="0" borderId="1" xfId="0" applyFont="1" applyFill="1" applyBorder="1"/>
    <xf numFmtId="49" fontId="0" fillId="0" borderId="0" xfId="0" applyNumberFormat="1"/>
    <xf numFmtId="166" fontId="1" fillId="0" borderId="1" xfId="0" applyNumberFormat="1" applyFont="1" applyBorder="1"/>
    <xf numFmtId="2" fontId="1" fillId="0" borderId="0" xfId="0" applyNumberFormat="1" applyFont="1" applyFill="1" applyBorder="1"/>
    <xf numFmtId="49" fontId="11" fillId="4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7" fillId="0" borderId="0" xfId="0" applyFont="1"/>
    <xf numFmtId="49" fontId="18" fillId="0" borderId="1" xfId="0" applyNumberFormat="1" applyFont="1" applyBorder="1" applyAlignment="1">
      <alignment vertical="center" wrapText="1"/>
    </xf>
    <xf numFmtId="0" fontId="19" fillId="0" borderId="1" xfId="0" applyFont="1" applyBorder="1"/>
    <xf numFmtId="2" fontId="19" fillId="0" borderId="1" xfId="0" applyNumberFormat="1" applyFont="1" applyBorder="1"/>
    <xf numFmtId="2" fontId="0" fillId="0" borderId="1" xfId="0" applyNumberFormat="1" applyFill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0" fillId="0" borderId="0" xfId="0" applyNumberFormat="1"/>
    <xf numFmtId="2" fontId="0" fillId="0" borderId="0" xfId="0" applyNumberFormat="1"/>
    <xf numFmtId="167" fontId="0" fillId="0" borderId="0" xfId="0" applyNumberFormat="1"/>
    <xf numFmtId="165" fontId="0" fillId="0" borderId="0" xfId="0" applyNumberFormat="1"/>
    <xf numFmtId="4" fontId="0" fillId="0" borderId="0" xfId="0" applyNumberFormat="1"/>
    <xf numFmtId="2" fontId="19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17" fillId="0" borderId="0" xfId="0" applyFont="1" applyFill="1"/>
    <xf numFmtId="0" fontId="12" fillId="0" borderId="0" xfId="0" applyFont="1" applyFill="1"/>
    <xf numFmtId="49" fontId="17" fillId="0" borderId="0" xfId="0" applyNumberFormat="1" applyFont="1" applyFill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/>
    <xf numFmtId="0" fontId="12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2" fontId="1" fillId="0" borderId="1" xfId="0" applyNumberFormat="1" applyFont="1" applyFill="1" applyBorder="1"/>
    <xf numFmtId="166" fontId="17" fillId="0" borderId="1" xfId="0" applyNumberFormat="1" applyFont="1" applyFill="1" applyBorder="1" applyAlignment="1">
      <alignment vertical="center" wrapText="1"/>
    </xf>
    <xf numFmtId="168" fontId="0" fillId="0" borderId="0" xfId="5" applyNumberFormat="1" applyFont="1"/>
    <xf numFmtId="0" fontId="0" fillId="0" borderId="0" xfId="0" applyFill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1" fontId="15" fillId="0" borderId="10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</cellXfs>
  <cellStyles count="6">
    <cellStyle name="Обычный" xfId="0" builtinId="0"/>
    <cellStyle name="Обычный 10" xfId="4"/>
    <cellStyle name="Обычный 2" xfId="1"/>
    <cellStyle name="Обычный 3" xfId="3"/>
    <cellStyle name="Обычный 4" xfId="2"/>
    <cellStyle name="Процентный" xfId="5" builtinId="5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40</xdr:row>
      <xdr:rowOff>85725</xdr:rowOff>
    </xdr:from>
    <xdr:to>
      <xdr:col>4</xdr:col>
      <xdr:colOff>285750</xdr:colOff>
      <xdr:row>42</xdr:row>
      <xdr:rowOff>0</xdr:rowOff>
    </xdr:to>
    <xdr:pic>
      <xdr:nvPicPr>
        <xdr:cNvPr id="2" name="Рисунок 1" descr="https://api.docs.cntd.ru/img/35/09/62/75/0/d9a7fb1e-d271-4254-ac6b-30c12c25e246/P0071000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734300"/>
          <a:ext cx="24765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4</xdr:row>
      <xdr:rowOff>0</xdr:rowOff>
    </xdr:from>
    <xdr:to>
      <xdr:col>4</xdr:col>
      <xdr:colOff>352425</xdr:colOff>
      <xdr:row>5</xdr:row>
      <xdr:rowOff>104775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66850" y="762000"/>
          <a:ext cx="2562225" cy="295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4</xdr:row>
      <xdr:rowOff>0</xdr:rowOff>
    </xdr:from>
    <xdr:to>
      <xdr:col>5</xdr:col>
      <xdr:colOff>381000</xdr:colOff>
      <xdr:row>5</xdr:row>
      <xdr:rowOff>152400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0" y="762000"/>
          <a:ext cx="2667000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202847</xdr:colOff>
      <xdr:row>22</xdr:row>
      <xdr:rowOff>485071</xdr:rowOff>
    </xdr:from>
    <xdr:to>
      <xdr:col>10</xdr:col>
      <xdr:colOff>564443</xdr:colOff>
      <xdr:row>24</xdr:row>
      <xdr:rowOff>141112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823F72-96C3-B66F-F1FF-BDD85E6015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0072" b="3305"/>
        <a:stretch/>
      </xdr:blipFill>
      <xdr:spPr>
        <a:xfrm>
          <a:off x="202847" y="7417154"/>
          <a:ext cx="7478888" cy="414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4</xdr:row>
      <xdr:rowOff>57150</xdr:rowOff>
    </xdr:from>
    <xdr:to>
      <xdr:col>4</xdr:col>
      <xdr:colOff>371475</xdr:colOff>
      <xdr:row>5</xdr:row>
      <xdr:rowOff>171450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7350" y="247650"/>
          <a:ext cx="1152525" cy="3048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6</xdr:col>
      <xdr:colOff>781050</xdr:colOff>
      <xdr:row>84</xdr:row>
      <xdr:rowOff>133350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19050000"/>
          <a:ext cx="624840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89</xdr:row>
      <xdr:rowOff>95250</xdr:rowOff>
    </xdr:from>
    <xdr:to>
      <xdr:col>8</xdr:col>
      <xdr:colOff>19050</xdr:colOff>
      <xdr:row>94</xdr:row>
      <xdr:rowOff>19050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8650" y="20754975"/>
          <a:ext cx="727710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100</xdr:row>
      <xdr:rowOff>76200</xdr:rowOff>
    </xdr:from>
    <xdr:to>
      <xdr:col>7</xdr:col>
      <xdr:colOff>552450</xdr:colOff>
      <xdr:row>103</xdr:row>
      <xdr:rowOff>142875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8175" y="21031200"/>
          <a:ext cx="6896100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6</xdr:col>
      <xdr:colOff>647700</xdr:colOff>
      <xdr:row>109</xdr:row>
      <xdr:rowOff>66675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0" y="23031450"/>
          <a:ext cx="61150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113</xdr:row>
      <xdr:rowOff>76200</xdr:rowOff>
    </xdr:from>
    <xdr:to>
      <xdr:col>7</xdr:col>
      <xdr:colOff>390525</xdr:colOff>
      <xdr:row>118</xdr:row>
      <xdr:rowOff>9525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61975" y="24288750"/>
          <a:ext cx="6810375" cy="885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6</xdr:row>
      <xdr:rowOff>76200</xdr:rowOff>
    </xdr:from>
    <xdr:to>
      <xdr:col>9</xdr:col>
      <xdr:colOff>438150</xdr:colOff>
      <xdr:row>12</xdr:row>
      <xdr:rowOff>104775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838200"/>
          <a:ext cx="5676900" cy="117157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24</xdr:row>
      <xdr:rowOff>85725</xdr:rowOff>
    </xdr:from>
    <xdr:to>
      <xdr:col>10</xdr:col>
      <xdr:colOff>66675</xdr:colOff>
      <xdr:row>30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5775" y="4276725"/>
          <a:ext cx="5676900" cy="1171575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40</xdr:row>
      <xdr:rowOff>76200</xdr:rowOff>
    </xdr:from>
    <xdr:to>
      <xdr:col>6</xdr:col>
      <xdr:colOff>134409</xdr:colOff>
      <xdr:row>44</xdr:row>
      <xdr:rowOff>82430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4425" y="8239125"/>
          <a:ext cx="2677584" cy="768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view="pageBreakPreview" zoomScale="60" zoomScaleNormal="63" workbookViewId="0">
      <selection activeCell="AB20" sqref="AB20"/>
    </sheetView>
  </sheetViews>
  <sheetFormatPr defaultRowHeight="15" x14ac:dyDescent="0.25"/>
  <cols>
    <col min="1" max="1" width="21.85546875" customWidth="1"/>
    <col min="2" max="2" width="11.140625" customWidth="1"/>
    <col min="3" max="3" width="11.5703125" customWidth="1"/>
    <col min="4" max="4" width="10.5703125" customWidth="1"/>
    <col min="5" max="5" width="11.5703125" customWidth="1"/>
    <col min="6" max="6" width="10.5703125" customWidth="1"/>
    <col min="13" max="13" width="9.140625" customWidth="1"/>
    <col min="14" max="14" width="14.7109375" customWidth="1"/>
    <col min="15" max="15" width="13.140625" customWidth="1"/>
    <col min="18" max="18" width="13.42578125" customWidth="1"/>
  </cols>
  <sheetData>
    <row r="1" spans="1:13" x14ac:dyDescent="0.25">
      <c r="A1" s="2" t="s">
        <v>135</v>
      </c>
    </row>
    <row r="2" spans="1:13" x14ac:dyDescent="0.25">
      <c r="A2" s="2" t="s">
        <v>131</v>
      </c>
    </row>
    <row r="3" spans="1:13" x14ac:dyDescent="0.25">
      <c r="A3" s="2"/>
    </row>
    <row r="4" spans="1:13" x14ac:dyDescent="0.25">
      <c r="A4" s="2"/>
    </row>
    <row r="5" spans="1:13" x14ac:dyDescent="0.25">
      <c r="A5" s="2"/>
      <c r="F5" s="64" t="s">
        <v>181</v>
      </c>
    </row>
    <row r="6" spans="1:13" x14ac:dyDescent="0.25">
      <c r="A6" s="2"/>
    </row>
    <row r="7" spans="1:13" x14ac:dyDescent="0.25">
      <c r="A7" s="2"/>
      <c r="B7" t="s">
        <v>147</v>
      </c>
      <c r="F7" s="64" t="s">
        <v>182</v>
      </c>
    </row>
    <row r="8" spans="1:13" x14ac:dyDescent="0.25">
      <c r="A8" s="2"/>
      <c r="F8" s="64"/>
    </row>
    <row r="9" spans="1:13" x14ac:dyDescent="0.25">
      <c r="A9" s="2"/>
    </row>
    <row r="10" spans="1:13" x14ac:dyDescent="0.25">
      <c r="A10" s="2"/>
    </row>
    <row r="11" spans="1:13" x14ac:dyDescent="0.25">
      <c r="A11" s="49" t="s">
        <v>136</v>
      </c>
      <c r="B11" s="49" t="s">
        <v>137</v>
      </c>
      <c r="C11" s="50" t="s">
        <v>172</v>
      </c>
      <c r="D11" s="50" t="s">
        <v>138</v>
      </c>
      <c r="E11" s="50" t="s">
        <v>139</v>
      </c>
      <c r="F11" s="50" t="s">
        <v>140</v>
      </c>
      <c r="G11" s="50" t="s">
        <v>141</v>
      </c>
      <c r="H11" s="50" t="s">
        <v>142</v>
      </c>
      <c r="I11" s="50" t="s">
        <v>143</v>
      </c>
      <c r="J11" s="50" t="s">
        <v>144</v>
      </c>
      <c r="K11" s="50" t="s">
        <v>145</v>
      </c>
      <c r="L11" s="50" t="s">
        <v>170</v>
      </c>
      <c r="M11" s="50" t="s">
        <v>171</v>
      </c>
    </row>
    <row r="12" spans="1:13" s="27" customFormat="1" ht="25.5" x14ac:dyDescent="0.25">
      <c r="A12" s="70" t="s">
        <v>184</v>
      </c>
      <c r="B12" s="3" t="s">
        <v>146</v>
      </c>
      <c r="C12" s="78">
        <f>'Пр 2. Лист 5. Объем ПНГ'!G30*3/4</f>
        <v>1.2448313459999985</v>
      </c>
      <c r="D12" s="78">
        <f>'Пр 2. Лист 5. Объем ПНГ'!H30</f>
        <v>2.00214275</v>
      </c>
      <c r="E12" s="78">
        <f>'Пр 2. Лист 5. Объем ПНГ'!I30</f>
        <v>1.8596954250000002</v>
      </c>
      <c r="F12" s="78">
        <f>'Пр 2. Лист 5. Объем ПНГ'!J30</f>
        <v>2.0769304499999999</v>
      </c>
      <c r="G12" s="78">
        <f>'Пр 2. Лист 5. Объем ПНГ'!K30</f>
        <v>1.9305009079999977</v>
      </c>
      <c r="H12" s="78">
        <f>'Пр 2. Лист 5. Объем ПНГ'!L30</f>
        <v>2.3994896850000003</v>
      </c>
      <c r="I12" s="78">
        <f>'Пр 2. Лист 5. Объем ПНГ'!M30</f>
        <v>2.9025068399999996</v>
      </c>
      <c r="J12" s="78">
        <f>'Пр 2. Лист 5. Объем ПНГ'!N30</f>
        <v>3.9903418349999997</v>
      </c>
      <c r="K12" s="78">
        <f>'Пр 2. Лист 5. Объем ПНГ'!O30</f>
        <v>4.8193888500000002</v>
      </c>
      <c r="L12" s="78">
        <f>'Пр 2. Лист 5. Объем ПНГ'!P30</f>
        <v>5.5146559499999999</v>
      </c>
      <c r="M12" s="78">
        <f>'Пр 2. Лист 5. Объем ПНГ'!Q30*1/4</f>
        <v>1.3997788425</v>
      </c>
    </row>
    <row r="14" spans="1:13" x14ac:dyDescent="0.25">
      <c r="A14" s="2" t="s">
        <v>176</v>
      </c>
    </row>
    <row r="15" spans="1:13" x14ac:dyDescent="0.25">
      <c r="A15" s="3" t="s">
        <v>183</v>
      </c>
      <c r="B15" s="3"/>
      <c r="C15" s="1"/>
      <c r="D15" s="1"/>
      <c r="E15" s="1"/>
      <c r="F15" s="43"/>
      <c r="G15" s="98">
        <f>'Пр 2. Лист 4. Состав ПНГ'!E148</f>
        <v>47.81</v>
      </c>
    </row>
    <row r="17" spans="1:6" ht="47.25" customHeight="1" x14ac:dyDescent="0.25">
      <c r="A17" s="3" t="s">
        <v>30</v>
      </c>
      <c r="B17" s="4" t="s">
        <v>177</v>
      </c>
    </row>
    <row r="18" spans="1:6" x14ac:dyDescent="0.25">
      <c r="A18" s="3" t="str">
        <f>'Пр 2. Лист 4. Состав ПНГ'!B7</f>
        <v>кислород</v>
      </c>
      <c r="B18" s="65">
        <f>'Пр 2. Лист 4. Состав ПНГ'!R23</f>
        <v>0.1547</v>
      </c>
    </row>
    <row r="19" spans="1:6" x14ac:dyDescent="0.25">
      <c r="A19" s="3" t="str">
        <f>'Пр 2. Лист 4. Состав ПНГ'!B8</f>
        <v>азот</v>
      </c>
      <c r="B19" s="65">
        <f>'Пр 2. Лист 4. Состав ПНГ'!R24</f>
        <v>2.8791000000000002</v>
      </c>
    </row>
    <row r="20" spans="1:6" x14ac:dyDescent="0.25">
      <c r="A20" s="3" t="str">
        <f>'Пр 2. Лист 4. Состав ПНГ'!B9</f>
        <v>двуокись углерода</v>
      </c>
      <c r="B20" s="65">
        <f>'Пр 2. Лист 4. Состав ПНГ'!R25</f>
        <v>2.1918000000000002</v>
      </c>
    </row>
    <row r="21" spans="1:6" x14ac:dyDescent="0.25">
      <c r="A21" s="3" t="str">
        <f>'Пр 2. Лист 4. Состав ПНГ'!B10</f>
        <v>метан</v>
      </c>
      <c r="B21" s="65">
        <f>'Пр 2. Лист 4. Состав ПНГ'!R26</f>
        <v>72.781800000000004</v>
      </c>
    </row>
    <row r="22" spans="1:6" x14ac:dyDescent="0.25">
      <c r="A22" s="3" t="str">
        <f>'Пр 2. Лист 4. Состав ПНГ'!B11</f>
        <v>этан</v>
      </c>
      <c r="B22" s="65">
        <f>'Пр 2. Лист 4. Состав ПНГ'!R27</f>
        <v>6.2027000000000001</v>
      </c>
    </row>
    <row r="23" spans="1:6" x14ac:dyDescent="0.25">
      <c r="A23" s="3" t="str">
        <f>'Пр 2. Лист 4. Состав ПНГ'!B12</f>
        <v>пропан</v>
      </c>
      <c r="B23" s="65">
        <f>'Пр 2. Лист 4. Состав ПНГ'!R28</f>
        <v>8.2727000000000004</v>
      </c>
    </row>
    <row r="24" spans="1:6" x14ac:dyDescent="0.25">
      <c r="A24" s="3" t="str">
        <f>'Пр 2. Лист 4. Состав ПНГ'!B13</f>
        <v>изобутан</v>
      </c>
      <c r="B24" s="65">
        <f>'Пр 2. Лист 4. Состав ПНГ'!R29</f>
        <v>1.5572999999999999</v>
      </c>
    </row>
    <row r="25" spans="1:6" x14ac:dyDescent="0.25">
      <c r="A25" s="3" t="str">
        <f>'Пр 2. Лист 4. Состав ПНГ'!B14</f>
        <v>н-бутан</v>
      </c>
      <c r="B25" s="65">
        <f>'Пр 2. Лист 4. Состав ПНГ'!R30</f>
        <v>3.0981999999999998</v>
      </c>
    </row>
    <row r="26" spans="1:6" x14ac:dyDescent="0.25">
      <c r="A26" s="3" t="str">
        <f>'Пр 2. Лист 4. Состав ПНГ'!B15</f>
        <v>изопентан</v>
      </c>
      <c r="B26" s="65">
        <f>'Пр 2. Лист 4. Состав ПНГ'!R31</f>
        <v>0.80179999999999996</v>
      </c>
    </row>
    <row r="27" spans="1:6" x14ac:dyDescent="0.25">
      <c r="A27" s="3" t="str">
        <f>'Пр 2. Лист 4. Состав ПНГ'!B16</f>
        <v>н-пентан</v>
      </c>
      <c r="B27" s="65">
        <f>'Пр 2. Лист 4. Состав ПНГ'!R32</f>
        <v>0.94</v>
      </c>
    </row>
    <row r="28" spans="1:6" ht="48" customHeight="1" x14ac:dyDescent="0.25">
      <c r="A28" s="3" t="str">
        <f>'Пр 2. Лист 4. Состав ПНГ'!B17</f>
        <v>углеводороды С6 (гексаны+)</v>
      </c>
      <c r="B28" s="65">
        <f>'Пр 2. Лист 4. Состав ПНГ'!R33</f>
        <v>1.1217999999999999</v>
      </c>
    </row>
    <row r="29" spans="1:6" x14ac:dyDescent="0.25">
      <c r="A29" s="53"/>
      <c r="B29" s="66">
        <f>SUM(B18:B28)</f>
        <v>100.00190000000001</v>
      </c>
      <c r="C29" s="54"/>
      <c r="D29" s="54"/>
      <c r="E29" s="54"/>
      <c r="F29" s="55"/>
    </row>
    <row r="30" spans="1:6" x14ac:dyDescent="0.25">
      <c r="A30" s="53"/>
      <c r="B30" s="53"/>
      <c r="C30" s="54"/>
      <c r="D30" s="54"/>
      <c r="E30" s="54"/>
      <c r="F30" s="54"/>
    </row>
    <row r="31" spans="1:6" x14ac:dyDescent="0.25">
      <c r="A31" s="2" t="s">
        <v>263</v>
      </c>
    </row>
    <row r="32" spans="1:6" x14ac:dyDescent="0.25">
      <c r="A32" t="s">
        <v>260</v>
      </c>
    </row>
    <row r="34" spans="1:13" x14ac:dyDescent="0.25">
      <c r="A34" s="1" t="s">
        <v>118</v>
      </c>
      <c r="B34" s="49" t="s">
        <v>137</v>
      </c>
      <c r="C34" s="50" t="s">
        <v>172</v>
      </c>
      <c r="D34" s="50" t="s">
        <v>138</v>
      </c>
      <c r="E34" s="50" t="s">
        <v>139</v>
      </c>
      <c r="F34" s="50" t="s">
        <v>140</v>
      </c>
      <c r="G34" s="50" t="s">
        <v>141</v>
      </c>
      <c r="H34" s="50" t="s">
        <v>142</v>
      </c>
      <c r="I34" s="50" t="s">
        <v>143</v>
      </c>
      <c r="J34" s="50" t="s">
        <v>144</v>
      </c>
      <c r="K34" s="50" t="s">
        <v>145</v>
      </c>
      <c r="L34" s="50" t="s">
        <v>170</v>
      </c>
      <c r="M34" s="50" t="s">
        <v>171</v>
      </c>
    </row>
    <row r="35" spans="1:13" x14ac:dyDescent="0.25">
      <c r="A35" s="1" t="s">
        <v>148</v>
      </c>
      <c r="B35" s="1" t="s">
        <v>146</v>
      </c>
      <c r="C35" s="51">
        <f>C12</f>
        <v>1.2448313459999985</v>
      </c>
      <c r="D35" s="51">
        <f t="shared" ref="D35:M35" si="0">D12</f>
        <v>2.00214275</v>
      </c>
      <c r="E35" s="51">
        <f>E12</f>
        <v>1.8596954250000002</v>
      </c>
      <c r="F35" s="51">
        <f t="shared" si="0"/>
        <v>2.0769304499999999</v>
      </c>
      <c r="G35" s="51">
        <f>G12</f>
        <v>1.9305009079999977</v>
      </c>
      <c r="H35" s="51">
        <f>H12</f>
        <v>2.3994896850000003</v>
      </c>
      <c r="I35" s="51">
        <f t="shared" si="0"/>
        <v>2.9025068399999996</v>
      </c>
      <c r="J35" s="51">
        <f t="shared" si="0"/>
        <v>3.9903418349999997</v>
      </c>
      <c r="K35" s="51">
        <f t="shared" si="0"/>
        <v>4.8193888500000002</v>
      </c>
      <c r="L35" s="51">
        <f t="shared" si="0"/>
        <v>5.5146559499999999</v>
      </c>
      <c r="M35" s="51">
        <f t="shared" si="0"/>
        <v>1.3997788425</v>
      </c>
    </row>
    <row r="36" spans="1:13" x14ac:dyDescent="0.25">
      <c r="A36" s="1" t="s">
        <v>149</v>
      </c>
      <c r="B36" s="1" t="s">
        <v>150</v>
      </c>
      <c r="C36" s="5">
        <f>$G$15</f>
        <v>47.81</v>
      </c>
      <c r="D36" s="5">
        <f t="shared" ref="D36:M36" si="1">$G$15</f>
        <v>47.81</v>
      </c>
      <c r="E36" s="5">
        <f t="shared" si="1"/>
        <v>47.81</v>
      </c>
      <c r="F36" s="5">
        <f t="shared" si="1"/>
        <v>47.81</v>
      </c>
      <c r="G36" s="5">
        <f t="shared" si="1"/>
        <v>47.81</v>
      </c>
      <c r="H36" s="5">
        <f t="shared" si="1"/>
        <v>47.81</v>
      </c>
      <c r="I36" s="5">
        <f t="shared" si="1"/>
        <v>47.81</v>
      </c>
      <c r="J36" s="5">
        <f t="shared" si="1"/>
        <v>47.81</v>
      </c>
      <c r="K36" s="5">
        <f t="shared" si="1"/>
        <v>47.81</v>
      </c>
      <c r="L36" s="5">
        <f t="shared" si="1"/>
        <v>47.81</v>
      </c>
      <c r="M36" s="5">
        <f t="shared" si="1"/>
        <v>47.81</v>
      </c>
    </row>
    <row r="37" spans="1:13" x14ac:dyDescent="0.25">
      <c r="A37" s="1" t="s">
        <v>206</v>
      </c>
      <c r="B37" s="52" t="s">
        <v>151</v>
      </c>
      <c r="C37" s="1">
        <f>ROUND(C35*C36,2)</f>
        <v>59.52</v>
      </c>
      <c r="D37" s="1">
        <f t="shared" ref="D37:M37" si="2">ROUND(D35*D36,2)</f>
        <v>95.72</v>
      </c>
      <c r="E37" s="1">
        <f>ROUND(E35*E36,2)</f>
        <v>88.91</v>
      </c>
      <c r="F37" s="1">
        <f t="shared" si="2"/>
        <v>99.3</v>
      </c>
      <c r="G37" s="1">
        <f t="shared" si="2"/>
        <v>92.3</v>
      </c>
      <c r="H37" s="1">
        <f>ROUND(H35*H36,2)</f>
        <v>114.72</v>
      </c>
      <c r="I37" s="1">
        <f t="shared" si="2"/>
        <v>138.77000000000001</v>
      </c>
      <c r="J37" s="1">
        <f t="shared" si="2"/>
        <v>190.78</v>
      </c>
      <c r="K37" s="1">
        <f t="shared" si="2"/>
        <v>230.41</v>
      </c>
      <c r="L37" s="1">
        <f t="shared" si="2"/>
        <v>263.66000000000003</v>
      </c>
      <c r="M37" s="1">
        <f t="shared" si="2"/>
        <v>66.92</v>
      </c>
    </row>
    <row r="39" spans="1:13" x14ac:dyDescent="0.25">
      <c r="A39" t="s">
        <v>152</v>
      </c>
    </row>
    <row r="40" spans="1:13" ht="102" x14ac:dyDescent="0.25">
      <c r="B40" t="s">
        <v>153</v>
      </c>
      <c r="G40" s="75" t="s">
        <v>200</v>
      </c>
      <c r="H40" s="75" t="s">
        <v>184</v>
      </c>
      <c r="I40" s="75" t="s">
        <v>207</v>
      </c>
      <c r="J40" s="75" t="s">
        <v>208</v>
      </c>
    </row>
    <row r="41" spans="1:13" x14ac:dyDescent="0.25">
      <c r="G41" s="76" t="s">
        <v>199</v>
      </c>
      <c r="H41" s="77">
        <f>C12</f>
        <v>1.2448313459999985</v>
      </c>
      <c r="I41" s="76">
        <f>C36</f>
        <v>47.81</v>
      </c>
      <c r="J41" s="76">
        <f t="shared" ref="J41:J51" si="3">ROUND(H41*I41,2)</f>
        <v>59.52</v>
      </c>
    </row>
    <row r="42" spans="1:13" x14ac:dyDescent="0.25">
      <c r="G42" s="76">
        <v>2025</v>
      </c>
      <c r="H42" s="77">
        <f>D12</f>
        <v>2.00214275</v>
      </c>
      <c r="I42" s="76">
        <f t="shared" ref="I42:I51" si="4">I41</f>
        <v>47.81</v>
      </c>
      <c r="J42" s="76">
        <f t="shared" si="3"/>
        <v>95.72</v>
      </c>
    </row>
    <row r="43" spans="1:13" x14ac:dyDescent="0.25">
      <c r="G43" s="76">
        <v>2026</v>
      </c>
      <c r="H43" s="77">
        <f>E12</f>
        <v>1.8596954250000002</v>
      </c>
      <c r="I43" s="76">
        <f t="shared" si="4"/>
        <v>47.81</v>
      </c>
      <c r="J43" s="76">
        <f t="shared" si="3"/>
        <v>88.91</v>
      </c>
    </row>
    <row r="44" spans="1:13" x14ac:dyDescent="0.25">
      <c r="G44" s="76">
        <v>2027</v>
      </c>
      <c r="H44" s="77">
        <f>F12</f>
        <v>2.0769304499999999</v>
      </c>
      <c r="I44" s="76">
        <f t="shared" si="4"/>
        <v>47.81</v>
      </c>
      <c r="J44" s="77">
        <f t="shared" si="3"/>
        <v>99.3</v>
      </c>
    </row>
    <row r="45" spans="1:13" x14ac:dyDescent="0.25">
      <c r="G45" s="76">
        <v>2028</v>
      </c>
      <c r="H45" s="77">
        <f>G12</f>
        <v>1.9305009079999977</v>
      </c>
      <c r="I45" s="76">
        <f t="shared" si="4"/>
        <v>47.81</v>
      </c>
      <c r="J45" s="77">
        <f t="shared" si="3"/>
        <v>92.3</v>
      </c>
    </row>
    <row r="46" spans="1:13" x14ac:dyDescent="0.25">
      <c r="G46" s="76">
        <v>2029</v>
      </c>
      <c r="H46" s="77">
        <f>H12</f>
        <v>2.3994896850000003</v>
      </c>
      <c r="I46" s="76">
        <f t="shared" si="4"/>
        <v>47.81</v>
      </c>
      <c r="J46" s="76">
        <f t="shared" si="3"/>
        <v>114.72</v>
      </c>
    </row>
    <row r="47" spans="1:13" x14ac:dyDescent="0.25">
      <c r="G47" s="76">
        <v>2030</v>
      </c>
      <c r="H47" s="77">
        <f>I12</f>
        <v>2.9025068399999996</v>
      </c>
      <c r="I47" s="76">
        <f t="shared" si="4"/>
        <v>47.81</v>
      </c>
      <c r="J47" s="76">
        <f t="shared" si="3"/>
        <v>138.77000000000001</v>
      </c>
    </row>
    <row r="48" spans="1:13" x14ac:dyDescent="0.25">
      <c r="G48" s="76">
        <v>2031</v>
      </c>
      <c r="H48" s="77">
        <f>J12</f>
        <v>3.9903418349999997</v>
      </c>
      <c r="I48" s="76">
        <f t="shared" si="4"/>
        <v>47.81</v>
      </c>
      <c r="J48" s="76">
        <f t="shared" si="3"/>
        <v>190.78</v>
      </c>
    </row>
    <row r="49" spans="1:10" x14ac:dyDescent="0.25">
      <c r="G49" s="76">
        <v>2032</v>
      </c>
      <c r="H49" s="77">
        <f>K12</f>
        <v>4.8193888500000002</v>
      </c>
      <c r="I49" s="76">
        <f t="shared" si="4"/>
        <v>47.81</v>
      </c>
      <c r="J49" s="76">
        <f t="shared" si="3"/>
        <v>230.41</v>
      </c>
    </row>
    <row r="50" spans="1:10" x14ac:dyDescent="0.25">
      <c r="G50" s="76">
        <v>2033</v>
      </c>
      <c r="H50" s="77">
        <f>L12</f>
        <v>5.5146559499999999</v>
      </c>
      <c r="I50" s="76">
        <f t="shared" si="4"/>
        <v>47.81</v>
      </c>
      <c r="J50" s="76">
        <f t="shared" si="3"/>
        <v>263.66000000000003</v>
      </c>
    </row>
    <row r="51" spans="1:10" x14ac:dyDescent="0.25">
      <c r="G51" s="76" t="s">
        <v>201</v>
      </c>
      <c r="H51" s="77">
        <f>M12</f>
        <v>1.3997788425</v>
      </c>
      <c r="I51" s="76">
        <f t="shared" si="4"/>
        <v>47.81</v>
      </c>
      <c r="J51" s="76">
        <f t="shared" si="3"/>
        <v>66.92</v>
      </c>
    </row>
    <row r="52" spans="1:10" ht="180" x14ac:dyDescent="0.25">
      <c r="A52" s="4" t="s">
        <v>30</v>
      </c>
      <c r="B52" s="4" t="s">
        <v>154</v>
      </c>
      <c r="C52" s="28" t="s">
        <v>155</v>
      </c>
      <c r="D52" s="28" t="s">
        <v>156</v>
      </c>
    </row>
    <row r="53" spans="1:10" ht="15.75" x14ac:dyDescent="0.25">
      <c r="A53" s="1" t="str">
        <f t="shared" ref="A53:B63" si="5">A18</f>
        <v>кислород</v>
      </c>
      <c r="B53" s="57">
        <f t="shared" si="5"/>
        <v>0.1547</v>
      </c>
      <c r="C53" s="1">
        <v>0</v>
      </c>
      <c r="D53" s="58">
        <f t="shared" ref="D53:D63" si="6">B53*C53</f>
        <v>0</v>
      </c>
    </row>
    <row r="54" spans="1:10" ht="15.75" x14ac:dyDescent="0.25">
      <c r="A54" s="1" t="str">
        <f t="shared" si="5"/>
        <v>азот</v>
      </c>
      <c r="B54" s="57">
        <f t="shared" si="5"/>
        <v>2.8791000000000002</v>
      </c>
      <c r="C54" s="52">
        <v>0</v>
      </c>
      <c r="D54" s="58">
        <f t="shared" si="6"/>
        <v>0</v>
      </c>
    </row>
    <row r="55" spans="1:10" ht="15.75" x14ac:dyDescent="0.25">
      <c r="A55" s="1" t="str">
        <f t="shared" si="5"/>
        <v>двуокись углерода</v>
      </c>
      <c r="B55" s="57">
        <f t="shared" si="5"/>
        <v>2.1918000000000002</v>
      </c>
      <c r="C55" s="52">
        <v>1</v>
      </c>
      <c r="D55" s="58">
        <f t="shared" si="6"/>
        <v>2.1918000000000002</v>
      </c>
      <c r="E55" s="56"/>
    </row>
    <row r="56" spans="1:10" ht="15.75" x14ac:dyDescent="0.25">
      <c r="A56" s="1" t="str">
        <f t="shared" si="5"/>
        <v>метан</v>
      </c>
      <c r="B56" s="57">
        <f t="shared" si="5"/>
        <v>72.781800000000004</v>
      </c>
      <c r="C56" s="52">
        <v>1</v>
      </c>
      <c r="D56" s="58">
        <f t="shared" si="6"/>
        <v>72.781800000000004</v>
      </c>
    </row>
    <row r="57" spans="1:10" ht="15.75" x14ac:dyDescent="0.25">
      <c r="A57" s="1" t="str">
        <f t="shared" si="5"/>
        <v>этан</v>
      </c>
      <c r="B57" s="57">
        <f t="shared" si="5"/>
        <v>6.2027000000000001</v>
      </c>
      <c r="C57" s="52">
        <v>2</v>
      </c>
      <c r="D57" s="58">
        <f t="shared" si="6"/>
        <v>12.4054</v>
      </c>
    </row>
    <row r="58" spans="1:10" ht="15.75" x14ac:dyDescent="0.25">
      <c r="A58" s="1" t="str">
        <f t="shared" si="5"/>
        <v>пропан</v>
      </c>
      <c r="B58" s="57">
        <f t="shared" si="5"/>
        <v>8.2727000000000004</v>
      </c>
      <c r="C58" s="52">
        <v>3</v>
      </c>
      <c r="D58" s="58">
        <f t="shared" si="6"/>
        <v>24.818100000000001</v>
      </c>
    </row>
    <row r="59" spans="1:10" ht="15.75" x14ac:dyDescent="0.25">
      <c r="A59" s="1" t="str">
        <f t="shared" si="5"/>
        <v>изобутан</v>
      </c>
      <c r="B59" s="57">
        <f t="shared" si="5"/>
        <v>1.5572999999999999</v>
      </c>
      <c r="C59" s="52">
        <v>4</v>
      </c>
      <c r="D59" s="58">
        <f t="shared" si="6"/>
        <v>6.2291999999999996</v>
      </c>
    </row>
    <row r="60" spans="1:10" ht="15.75" x14ac:dyDescent="0.25">
      <c r="A60" s="1" t="str">
        <f t="shared" si="5"/>
        <v>н-бутан</v>
      </c>
      <c r="B60" s="57">
        <f t="shared" si="5"/>
        <v>3.0981999999999998</v>
      </c>
      <c r="C60" s="52">
        <v>4</v>
      </c>
      <c r="D60" s="58">
        <f t="shared" si="6"/>
        <v>12.392799999999999</v>
      </c>
    </row>
    <row r="61" spans="1:10" ht="15.75" x14ac:dyDescent="0.25">
      <c r="A61" s="1" t="str">
        <f t="shared" si="5"/>
        <v>изопентан</v>
      </c>
      <c r="B61" s="57">
        <f t="shared" si="5"/>
        <v>0.80179999999999996</v>
      </c>
      <c r="C61" s="52">
        <v>5</v>
      </c>
      <c r="D61" s="58">
        <f t="shared" si="6"/>
        <v>4.0089999999999995</v>
      </c>
    </row>
    <row r="62" spans="1:10" ht="15.75" x14ac:dyDescent="0.25">
      <c r="A62" s="1" t="str">
        <f t="shared" si="5"/>
        <v>н-пентан</v>
      </c>
      <c r="B62" s="57">
        <f t="shared" si="5"/>
        <v>0.94</v>
      </c>
      <c r="C62" s="52">
        <v>5</v>
      </c>
      <c r="D62" s="58">
        <f t="shared" si="6"/>
        <v>4.6999999999999993</v>
      </c>
    </row>
    <row r="63" spans="1:10" ht="15.75" x14ac:dyDescent="0.25">
      <c r="A63" s="1" t="str">
        <f t="shared" si="5"/>
        <v>углеводороды С6 (гексаны+)</v>
      </c>
      <c r="B63" s="57">
        <f t="shared" si="5"/>
        <v>1.1217999999999999</v>
      </c>
      <c r="C63" s="52">
        <v>6</v>
      </c>
      <c r="D63" s="58">
        <f t="shared" si="6"/>
        <v>6.7307999999999995</v>
      </c>
    </row>
    <row r="64" spans="1:10" x14ac:dyDescent="0.25">
      <c r="A64" t="s">
        <v>157</v>
      </c>
      <c r="D64" s="59">
        <f>SUM(D53:D63)</f>
        <v>146.25889999999998</v>
      </c>
    </row>
    <row r="68" spans="1:15" x14ac:dyDescent="0.25">
      <c r="D68" s="59"/>
    </row>
    <row r="69" spans="1:15" ht="15.75" x14ac:dyDescent="0.25">
      <c r="B69" t="s">
        <v>158</v>
      </c>
      <c r="E69" s="60">
        <v>1.9767999999999999</v>
      </c>
    </row>
    <row r="70" spans="1:15" ht="15.75" x14ac:dyDescent="0.25">
      <c r="B70" s="60" t="s">
        <v>159</v>
      </c>
      <c r="D70" s="60"/>
    </row>
    <row r="71" spans="1:15" ht="15.75" x14ac:dyDescent="0.25">
      <c r="B71" s="60"/>
      <c r="D71" s="60"/>
    </row>
    <row r="72" spans="1:15" x14ac:dyDescent="0.25">
      <c r="B72" t="s">
        <v>160</v>
      </c>
      <c r="C72" t="str">
        <f>CONCATENATE("=",ROUND(D64,4),"*",E69,"=")</f>
        <v>=146,2589*1,9768=</v>
      </c>
      <c r="E72" s="61">
        <f>D64*E69/100</f>
        <v>2.8912459351999997</v>
      </c>
      <c r="F72" t="s">
        <v>161</v>
      </c>
    </row>
    <row r="74" spans="1:15" x14ac:dyDescent="0.25">
      <c r="A74" t="s">
        <v>162</v>
      </c>
      <c r="D74" t="str">
        <f>CONCATENATE("= ",ROUND(E72,4)," / (",ROUND(G15,2),"*",0.001,") =")</f>
        <v>= 2,8912 / (47,81*0,001) =</v>
      </c>
      <c r="F74" s="62">
        <f>ROUND(E72/(G15*0.001),4)</f>
        <v>60.473700000000001</v>
      </c>
      <c r="G74" t="s">
        <v>163</v>
      </c>
    </row>
    <row r="77" spans="1:15" s="27" customFormat="1" ht="38.25" x14ac:dyDescent="0.25">
      <c r="A77" s="3" t="s">
        <v>118</v>
      </c>
      <c r="B77" s="69" t="s">
        <v>137</v>
      </c>
      <c r="C77" s="68" t="s">
        <v>178</v>
      </c>
      <c r="D77" s="67">
        <v>2025</v>
      </c>
      <c r="E77" s="67">
        <v>2026</v>
      </c>
      <c r="F77" s="67">
        <v>2027</v>
      </c>
      <c r="G77" s="67">
        <v>2028</v>
      </c>
      <c r="H77" s="67">
        <v>2029</v>
      </c>
      <c r="I77" s="67">
        <v>2030</v>
      </c>
      <c r="J77" s="67">
        <v>2031</v>
      </c>
      <c r="K77" s="67">
        <v>2032</v>
      </c>
      <c r="L77" s="67" t="s">
        <v>179</v>
      </c>
      <c r="M77" s="68" t="s">
        <v>180</v>
      </c>
    </row>
    <row r="78" spans="1:15" x14ac:dyDescent="0.25">
      <c r="A78" s="1" t="s">
        <v>148</v>
      </c>
      <c r="B78" s="1" t="s">
        <v>146</v>
      </c>
      <c r="C78" s="51">
        <f>C35</f>
        <v>1.2448313459999985</v>
      </c>
      <c r="D78" s="51">
        <f t="shared" ref="D78:M78" si="7">D35</f>
        <v>2.00214275</v>
      </c>
      <c r="E78" s="51">
        <f t="shared" si="7"/>
        <v>1.8596954250000002</v>
      </c>
      <c r="F78" s="51">
        <f t="shared" si="7"/>
        <v>2.0769304499999999</v>
      </c>
      <c r="G78" s="51">
        <f>G35</f>
        <v>1.9305009079999977</v>
      </c>
      <c r="H78" s="51">
        <f t="shared" si="7"/>
        <v>2.3994896850000003</v>
      </c>
      <c r="I78" s="51">
        <f t="shared" si="7"/>
        <v>2.9025068399999996</v>
      </c>
      <c r="J78" s="51">
        <f t="shared" si="7"/>
        <v>3.9903418349999997</v>
      </c>
      <c r="K78" s="51">
        <f t="shared" si="7"/>
        <v>4.8193888500000002</v>
      </c>
      <c r="L78" s="51">
        <f t="shared" si="7"/>
        <v>5.5146559499999999</v>
      </c>
      <c r="M78" s="51">
        <f t="shared" si="7"/>
        <v>1.3997788425</v>
      </c>
    </row>
    <row r="79" spans="1:15" x14ac:dyDescent="0.25">
      <c r="A79" s="1" t="s">
        <v>149</v>
      </c>
      <c r="B79" s="1" t="s">
        <v>150</v>
      </c>
      <c r="C79" s="51">
        <f>C36</f>
        <v>47.81</v>
      </c>
      <c r="D79" s="51">
        <f t="shared" ref="D79:F80" si="8">D36</f>
        <v>47.81</v>
      </c>
      <c r="E79" s="51">
        <f t="shared" si="8"/>
        <v>47.81</v>
      </c>
      <c r="F79" s="51">
        <f t="shared" si="8"/>
        <v>47.81</v>
      </c>
      <c r="G79" s="51">
        <f>G36</f>
        <v>47.81</v>
      </c>
      <c r="H79" s="51">
        <f t="shared" ref="H79:M80" si="9">H36</f>
        <v>47.81</v>
      </c>
      <c r="I79" s="51">
        <f t="shared" si="9"/>
        <v>47.81</v>
      </c>
      <c r="J79" s="51">
        <f t="shared" si="9"/>
        <v>47.81</v>
      </c>
      <c r="K79" s="51">
        <f t="shared" si="9"/>
        <v>47.81</v>
      </c>
      <c r="L79" s="51">
        <f t="shared" si="9"/>
        <v>47.81</v>
      </c>
      <c r="M79" s="51">
        <f t="shared" si="9"/>
        <v>47.81</v>
      </c>
    </row>
    <row r="80" spans="1:15" x14ac:dyDescent="0.25">
      <c r="A80" s="1" t="s">
        <v>206</v>
      </c>
      <c r="B80" s="52" t="s">
        <v>151</v>
      </c>
      <c r="C80" s="51">
        <f>C37</f>
        <v>59.52</v>
      </c>
      <c r="D80" s="51">
        <f t="shared" si="8"/>
        <v>95.72</v>
      </c>
      <c r="E80" s="51">
        <f t="shared" si="8"/>
        <v>88.91</v>
      </c>
      <c r="F80" s="51">
        <f t="shared" si="8"/>
        <v>99.3</v>
      </c>
      <c r="G80" s="51">
        <f>G37</f>
        <v>92.3</v>
      </c>
      <c r="H80" s="51">
        <f t="shared" si="9"/>
        <v>114.72</v>
      </c>
      <c r="I80" s="51">
        <f t="shared" si="9"/>
        <v>138.77000000000001</v>
      </c>
      <c r="J80" s="51">
        <f t="shared" si="9"/>
        <v>190.78</v>
      </c>
      <c r="K80" s="51">
        <f t="shared" si="9"/>
        <v>230.41</v>
      </c>
      <c r="L80" s="51">
        <f t="shared" si="9"/>
        <v>263.66000000000003</v>
      </c>
      <c r="M80" s="51">
        <f t="shared" si="9"/>
        <v>66.92</v>
      </c>
      <c r="N80" s="8" t="s">
        <v>164</v>
      </c>
      <c r="O80" s="8" t="s">
        <v>165</v>
      </c>
    </row>
    <row r="81" spans="1:15" x14ac:dyDescent="0.25">
      <c r="A81" s="52" t="s">
        <v>166</v>
      </c>
      <c r="B81" s="52" t="s">
        <v>167</v>
      </c>
      <c r="C81" s="1">
        <f>ROUND(C80*$F74,2)</f>
        <v>3599.39</v>
      </c>
      <c r="D81" s="1">
        <f t="shared" ref="D81:M81" si="10">ROUND(D80*$F74,2)</f>
        <v>5788.54</v>
      </c>
      <c r="E81" s="1">
        <f>ROUND(E80*$F74,2)</f>
        <v>5376.72</v>
      </c>
      <c r="F81" s="1">
        <f t="shared" si="10"/>
        <v>6005.04</v>
      </c>
      <c r="G81" s="1">
        <f>ROUND(G80*$F74,2)</f>
        <v>5581.72</v>
      </c>
      <c r="H81" s="1">
        <f>ROUND(H80*$F74,2)</f>
        <v>6937.54</v>
      </c>
      <c r="I81" s="1">
        <f t="shared" si="10"/>
        <v>8391.94</v>
      </c>
      <c r="J81" s="1">
        <f t="shared" si="10"/>
        <v>11537.17</v>
      </c>
      <c r="K81" s="1">
        <f t="shared" si="10"/>
        <v>13933.75</v>
      </c>
      <c r="L81" s="1">
        <f t="shared" si="10"/>
        <v>15944.5</v>
      </c>
      <c r="M81" s="1">
        <f t="shared" si="10"/>
        <v>4046.9</v>
      </c>
      <c r="N81" s="63">
        <f>SUM(C81:M81)</f>
        <v>87143.209999999992</v>
      </c>
      <c r="O81" s="63">
        <f>N81/10</f>
        <v>8714.3209999999999</v>
      </c>
    </row>
    <row r="82" spans="1:15" s="27" customFormat="1" ht="60" x14ac:dyDescent="0.25">
      <c r="A82" s="28" t="s">
        <v>185</v>
      </c>
      <c r="B82" s="71" t="s">
        <v>167</v>
      </c>
      <c r="C82" s="72">
        <f>ROUND(C81*0.95,0)</f>
        <v>3419</v>
      </c>
      <c r="D82" s="72">
        <f t="shared" ref="D82:M82" si="11">ROUND(D81*0.95,0)</f>
        <v>5499</v>
      </c>
      <c r="E82" s="3">
        <f t="shared" si="11"/>
        <v>5108</v>
      </c>
      <c r="F82" s="3">
        <f t="shared" si="11"/>
        <v>5705</v>
      </c>
      <c r="G82" s="3">
        <f>ROUND(G81*0.95,0)</f>
        <v>5303</v>
      </c>
      <c r="H82" s="3">
        <f>ROUND(H81*0.95,0)</f>
        <v>6591</v>
      </c>
      <c r="I82" s="3">
        <f t="shared" si="11"/>
        <v>7972</v>
      </c>
      <c r="J82" s="3">
        <f t="shared" si="11"/>
        <v>10960</v>
      </c>
      <c r="K82" s="3">
        <f t="shared" si="11"/>
        <v>13237</v>
      </c>
      <c r="L82" s="3">
        <f t="shared" si="11"/>
        <v>15147</v>
      </c>
      <c r="M82" s="3">
        <f t="shared" si="11"/>
        <v>3845</v>
      </c>
      <c r="N82" s="73">
        <f>SUM(C82:M82)</f>
        <v>82786</v>
      </c>
      <c r="O82" s="73">
        <f>ROUND(N82/10,0)</f>
        <v>8279</v>
      </c>
    </row>
    <row r="83" spans="1:15" x14ac:dyDescent="0.25">
      <c r="C83" s="13"/>
      <c r="D83" s="13"/>
    </row>
    <row r="84" spans="1:15" x14ac:dyDescent="0.25">
      <c r="C84" s="13"/>
      <c r="D84" s="13"/>
    </row>
    <row r="85" spans="1:15" x14ac:dyDescent="0.25">
      <c r="C85" s="13"/>
      <c r="D85" s="13"/>
    </row>
    <row r="86" spans="1:15" x14ac:dyDescent="0.25">
      <c r="C86" s="13"/>
      <c r="D86" s="13"/>
    </row>
    <row r="87" spans="1:15" ht="99.75" x14ac:dyDescent="0.25">
      <c r="C87" s="79" t="s">
        <v>200</v>
      </c>
      <c r="D87" s="79" t="s">
        <v>210</v>
      </c>
      <c r="E87" s="79" t="s">
        <v>211</v>
      </c>
      <c r="F87" s="79" t="s">
        <v>212</v>
      </c>
      <c r="G87" s="79" t="s">
        <v>168</v>
      </c>
    </row>
    <row r="88" spans="1:15" x14ac:dyDescent="0.25">
      <c r="C88" s="76" t="s">
        <v>199</v>
      </c>
      <c r="D88" s="80">
        <f t="shared" ref="D88:D98" si="12">J41</f>
        <v>59.52</v>
      </c>
      <c r="E88" s="87">
        <f>F74</f>
        <v>60.473700000000001</v>
      </c>
      <c r="F88" s="80">
        <f>ROUND(D88*E88,2)</f>
        <v>3599.39</v>
      </c>
      <c r="G88" s="80">
        <f>C82</f>
        <v>3419</v>
      </c>
    </row>
    <row r="89" spans="1:15" x14ac:dyDescent="0.25">
      <c r="C89" s="80">
        <v>2025</v>
      </c>
      <c r="D89" s="80">
        <f t="shared" si="12"/>
        <v>95.72</v>
      </c>
      <c r="E89" s="87">
        <f>E88</f>
        <v>60.473700000000001</v>
      </c>
      <c r="F89" s="80">
        <f t="shared" ref="F89:F98" si="13">ROUND(D89*E89,2)</f>
        <v>5788.54</v>
      </c>
      <c r="G89" s="80">
        <f>D82</f>
        <v>5499</v>
      </c>
    </row>
    <row r="90" spans="1:15" x14ac:dyDescent="0.25">
      <c r="C90" s="80">
        <v>2026</v>
      </c>
      <c r="D90" s="80">
        <f t="shared" si="12"/>
        <v>88.91</v>
      </c>
      <c r="E90" s="87">
        <f t="shared" ref="E90:E98" si="14">E89</f>
        <v>60.473700000000001</v>
      </c>
      <c r="F90" s="80">
        <f t="shared" si="13"/>
        <v>5376.72</v>
      </c>
      <c r="G90" s="80">
        <f>E82</f>
        <v>5108</v>
      </c>
    </row>
    <row r="91" spans="1:15" x14ac:dyDescent="0.25">
      <c r="C91" s="80">
        <v>2027</v>
      </c>
      <c r="D91" s="86">
        <f t="shared" si="12"/>
        <v>99.3</v>
      </c>
      <c r="E91" s="87">
        <f t="shared" si="14"/>
        <v>60.473700000000001</v>
      </c>
      <c r="F91" s="80">
        <f t="shared" si="13"/>
        <v>6005.04</v>
      </c>
      <c r="G91" s="80">
        <f>F82</f>
        <v>5705</v>
      </c>
    </row>
    <row r="92" spans="1:15" x14ac:dyDescent="0.25">
      <c r="C92" s="80">
        <v>2028</v>
      </c>
      <c r="D92" s="86">
        <f t="shared" si="12"/>
        <v>92.3</v>
      </c>
      <c r="E92" s="87">
        <f t="shared" si="14"/>
        <v>60.473700000000001</v>
      </c>
      <c r="F92" s="80">
        <f t="shared" si="13"/>
        <v>5581.72</v>
      </c>
      <c r="G92" s="80">
        <f>G82</f>
        <v>5303</v>
      </c>
    </row>
    <row r="93" spans="1:15" x14ac:dyDescent="0.25">
      <c r="C93" s="80">
        <v>2029</v>
      </c>
      <c r="D93" s="80">
        <f t="shared" si="12"/>
        <v>114.72</v>
      </c>
      <c r="E93" s="87">
        <f t="shared" si="14"/>
        <v>60.473700000000001</v>
      </c>
      <c r="F93" s="80">
        <f t="shared" si="13"/>
        <v>6937.54</v>
      </c>
      <c r="G93" s="80">
        <f>H82</f>
        <v>6591</v>
      </c>
    </row>
    <row r="94" spans="1:15" x14ac:dyDescent="0.25">
      <c r="C94" s="80">
        <v>2030</v>
      </c>
      <c r="D94" s="80">
        <f t="shared" si="12"/>
        <v>138.77000000000001</v>
      </c>
      <c r="E94" s="87">
        <f t="shared" si="14"/>
        <v>60.473700000000001</v>
      </c>
      <c r="F94" s="80">
        <f t="shared" si="13"/>
        <v>8391.94</v>
      </c>
      <c r="G94" s="80">
        <f>I82</f>
        <v>7972</v>
      </c>
    </row>
    <row r="95" spans="1:15" x14ac:dyDescent="0.25">
      <c r="C95" s="80">
        <v>2031</v>
      </c>
      <c r="D95" s="80">
        <f t="shared" si="12"/>
        <v>190.78</v>
      </c>
      <c r="E95" s="87">
        <f t="shared" si="14"/>
        <v>60.473700000000001</v>
      </c>
      <c r="F95" s="80">
        <f t="shared" si="13"/>
        <v>11537.17</v>
      </c>
      <c r="G95" s="80">
        <f>J82</f>
        <v>10960</v>
      </c>
    </row>
    <row r="96" spans="1:15" x14ac:dyDescent="0.25">
      <c r="C96" s="80">
        <v>2032</v>
      </c>
      <c r="D96" s="80">
        <f t="shared" si="12"/>
        <v>230.41</v>
      </c>
      <c r="E96" s="87">
        <f t="shared" si="14"/>
        <v>60.473700000000001</v>
      </c>
      <c r="F96" s="80">
        <f t="shared" si="13"/>
        <v>13933.75</v>
      </c>
      <c r="G96" s="80">
        <f>K82</f>
        <v>13237</v>
      </c>
    </row>
    <row r="97" spans="3:7" x14ac:dyDescent="0.25">
      <c r="C97" s="80">
        <v>2033</v>
      </c>
      <c r="D97" s="80">
        <f t="shared" si="12"/>
        <v>263.66000000000003</v>
      </c>
      <c r="E97" s="87">
        <f t="shared" si="14"/>
        <v>60.473700000000001</v>
      </c>
      <c r="F97" s="86">
        <f t="shared" si="13"/>
        <v>15944.5</v>
      </c>
      <c r="G97" s="80">
        <f>L82</f>
        <v>15147</v>
      </c>
    </row>
    <row r="98" spans="3:7" x14ac:dyDescent="0.25">
      <c r="C98" s="76" t="s">
        <v>201</v>
      </c>
      <c r="D98" s="80">
        <f t="shared" si="12"/>
        <v>66.92</v>
      </c>
      <c r="E98" s="87">
        <f t="shared" si="14"/>
        <v>60.473700000000001</v>
      </c>
      <c r="F98" s="86">
        <f t="shared" si="13"/>
        <v>4046.9</v>
      </c>
      <c r="G98" s="80">
        <f>M82</f>
        <v>3845</v>
      </c>
    </row>
    <row r="99" spans="3:7" x14ac:dyDescent="0.25">
      <c r="C99" s="79" t="s">
        <v>33</v>
      </c>
      <c r="D99" s="80">
        <f>SUM(D88:D98)</f>
        <v>1441.0100000000002</v>
      </c>
      <c r="E99" s="80"/>
      <c r="F99" s="80"/>
      <c r="G99" s="80">
        <f>N82</f>
        <v>82786</v>
      </c>
    </row>
  </sheetData>
  <pageMargins left="0.7" right="0.7" top="0.75" bottom="0.75" header="0.3" footer="0.3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view="pageBreakPreview" zoomScale="60" zoomScaleNormal="52" workbookViewId="0">
      <selection activeCell="AO25" sqref="AO25"/>
    </sheetView>
  </sheetViews>
  <sheetFormatPr defaultRowHeight="15" x14ac:dyDescent="0.25"/>
  <cols>
    <col min="1" max="1" width="16.140625" customWidth="1"/>
    <col min="3" max="3" width="11" customWidth="1"/>
    <col min="4" max="4" width="11.5703125" customWidth="1"/>
    <col min="5" max="5" width="11" customWidth="1"/>
    <col min="12" max="12" width="10" bestFit="1" customWidth="1"/>
  </cols>
  <sheetData>
    <row r="1" spans="1:16" x14ac:dyDescent="0.25">
      <c r="A1" s="2" t="s">
        <v>135</v>
      </c>
    </row>
    <row r="2" spans="1:16" x14ac:dyDescent="0.25">
      <c r="A2" s="2" t="s">
        <v>132</v>
      </c>
    </row>
    <row r="4" spans="1:16" x14ac:dyDescent="0.25">
      <c r="A4" t="s">
        <v>186</v>
      </c>
    </row>
    <row r="7" spans="1:16" x14ac:dyDescent="0.25">
      <c r="A7" t="s">
        <v>37</v>
      </c>
    </row>
    <row r="8" spans="1:16" x14ac:dyDescent="0.25">
      <c r="A8" t="s">
        <v>35</v>
      </c>
      <c r="B8" t="s">
        <v>36</v>
      </c>
    </row>
    <row r="9" spans="1:16" ht="42" customHeight="1" x14ac:dyDescent="0.25">
      <c r="A9" s="27" t="s">
        <v>187</v>
      </c>
      <c r="B9" s="106" t="s">
        <v>192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6" ht="46.5" customHeight="1" x14ac:dyDescent="0.25">
      <c r="A10" s="27" t="s">
        <v>188</v>
      </c>
      <c r="B10" s="106" t="s">
        <v>193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</row>
    <row r="11" spans="1:16" ht="42.75" customHeight="1" x14ac:dyDescent="0.25">
      <c r="A11" t="s">
        <v>189</v>
      </c>
      <c r="B11" s="106" t="s">
        <v>277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3" spans="1:16" ht="50.25" customHeight="1" x14ac:dyDescent="0.25">
      <c r="A13" s="107" t="s">
        <v>192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</row>
    <row r="14" spans="1:16" x14ac:dyDescent="0.25">
      <c r="A14" s="27" t="s">
        <v>190</v>
      </c>
    </row>
    <row r="15" spans="1:16" x14ac:dyDescent="0.25">
      <c r="A15" s="106" t="s">
        <v>275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</row>
    <row r="17" spans="1:16" ht="50.25" customHeight="1" x14ac:dyDescent="0.25">
      <c r="A17" s="107" t="s">
        <v>193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pans="1:16" x14ac:dyDescent="0.25">
      <c r="A18" s="27" t="s">
        <v>191</v>
      </c>
    </row>
    <row r="19" spans="1:16" ht="48" customHeight="1" x14ac:dyDescent="0.25">
      <c r="A19" s="106" t="s">
        <v>276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</row>
    <row r="20" spans="1:16" ht="15" customHeight="1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</row>
    <row r="21" spans="1:16" ht="42.75" customHeight="1" x14ac:dyDescent="0.25">
      <c r="A21" s="107" t="s">
        <v>277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spans="1:16" ht="53.25" customHeight="1" x14ac:dyDescent="0.25">
      <c r="A22" s="106" t="s">
        <v>194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</row>
    <row r="23" spans="1:16" ht="45" customHeight="1" x14ac:dyDescent="0.25">
      <c r="A23" s="106" t="s">
        <v>195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</row>
    <row r="26" spans="1:16" x14ac:dyDescent="0.25">
      <c r="A26" t="s">
        <v>107</v>
      </c>
      <c r="B26" s="6" t="s">
        <v>104</v>
      </c>
    </row>
    <row r="27" spans="1:16" x14ac:dyDescent="0.25">
      <c r="A27" t="s">
        <v>89</v>
      </c>
      <c r="B27" t="s">
        <v>96</v>
      </c>
    </row>
    <row r="28" spans="1:16" x14ac:dyDescent="0.25">
      <c r="A28" t="s">
        <v>90</v>
      </c>
      <c r="B28" t="s">
        <v>106</v>
      </c>
    </row>
    <row r="29" spans="1:16" x14ac:dyDescent="0.25">
      <c r="A29" t="s">
        <v>264</v>
      </c>
      <c r="B29" t="s">
        <v>213</v>
      </c>
    </row>
    <row r="30" spans="1:16" x14ac:dyDescent="0.25">
      <c r="A30" t="s">
        <v>271</v>
      </c>
      <c r="B30" t="s">
        <v>273</v>
      </c>
    </row>
    <row r="31" spans="1:16" x14ac:dyDescent="0.25">
      <c r="A31" t="s">
        <v>272</v>
      </c>
      <c r="B31" t="s">
        <v>274</v>
      </c>
    </row>
    <row r="32" spans="1:16" x14ac:dyDescent="0.25">
      <c r="A32" t="s">
        <v>265</v>
      </c>
      <c r="B32" t="s">
        <v>97</v>
      </c>
    </row>
    <row r="34" spans="1:12" x14ac:dyDescent="0.25">
      <c r="A34" t="s">
        <v>91</v>
      </c>
    </row>
    <row r="35" spans="1:12" ht="30" x14ac:dyDescent="0.25">
      <c r="A35" s="48" t="s">
        <v>92</v>
      </c>
      <c r="B35" s="104" t="s">
        <v>267</v>
      </c>
      <c r="C35" s="104"/>
      <c r="D35" s="104" t="s">
        <v>99</v>
      </c>
      <c r="E35" s="104"/>
      <c r="F35" s="104"/>
    </row>
    <row r="36" spans="1:12" x14ac:dyDescent="0.25">
      <c r="A36" s="4" t="s">
        <v>93</v>
      </c>
      <c r="B36" s="104">
        <v>101</v>
      </c>
      <c r="C36" s="104"/>
      <c r="D36" s="104">
        <v>8760</v>
      </c>
      <c r="E36" s="104"/>
      <c r="F36" s="104"/>
    </row>
    <row r="37" spans="1:12" x14ac:dyDescent="0.25">
      <c r="A37" s="4" t="s">
        <v>94</v>
      </c>
      <c r="B37" s="104">
        <v>220</v>
      </c>
      <c r="C37" s="104"/>
      <c r="D37" s="104">
        <v>8760</v>
      </c>
      <c r="E37" s="104"/>
      <c r="F37" s="104"/>
    </row>
    <row r="38" spans="1:12" ht="30" x14ac:dyDescent="0.25">
      <c r="A38" s="4" t="s">
        <v>95</v>
      </c>
      <c r="B38" s="104">
        <v>13</v>
      </c>
      <c r="C38" s="104"/>
      <c r="D38" s="104">
        <v>0.3</v>
      </c>
      <c r="E38" s="104"/>
      <c r="F38" s="104"/>
    </row>
    <row r="39" spans="1:12" x14ac:dyDescent="0.25">
      <c r="A39" s="27"/>
    </row>
    <row r="40" spans="1:12" x14ac:dyDescent="0.25">
      <c r="A40" s="27" t="s">
        <v>98</v>
      </c>
    </row>
    <row r="41" spans="1:12" ht="75.75" customHeight="1" x14ac:dyDescent="0.25">
      <c r="A41" s="48" t="s">
        <v>92</v>
      </c>
      <c r="B41" s="104" t="s">
        <v>267</v>
      </c>
      <c r="C41" s="104"/>
      <c r="D41" s="104" t="s">
        <v>268</v>
      </c>
      <c r="E41" s="104"/>
      <c r="F41" s="104"/>
      <c r="G41" s="104" t="s">
        <v>269</v>
      </c>
      <c r="H41" s="104"/>
      <c r="I41" s="104"/>
      <c r="J41" s="104"/>
      <c r="K41" s="104" t="s">
        <v>270</v>
      </c>
      <c r="L41" s="104"/>
    </row>
    <row r="42" spans="1:12" x14ac:dyDescent="0.25">
      <c r="A42" s="4" t="s">
        <v>93</v>
      </c>
      <c r="B42" s="104">
        <v>101</v>
      </c>
      <c r="C42" s="104"/>
      <c r="D42" s="104">
        <v>8760</v>
      </c>
      <c r="E42" s="104"/>
      <c r="F42" s="104"/>
      <c r="G42" s="104">
        <v>4.4999999999999997E-3</v>
      </c>
      <c r="H42" s="104"/>
      <c r="I42" s="104"/>
      <c r="J42" s="104"/>
      <c r="K42" s="104">
        <f>B42*D42*G42</f>
        <v>3981.4199999999996</v>
      </c>
      <c r="L42" s="104"/>
    </row>
    <row r="43" spans="1:12" x14ac:dyDescent="0.25">
      <c r="A43" s="4" t="s">
        <v>94</v>
      </c>
      <c r="B43" s="104">
        <v>220</v>
      </c>
      <c r="C43" s="104"/>
      <c r="D43" s="104">
        <v>8760</v>
      </c>
      <c r="E43" s="104"/>
      <c r="F43" s="104"/>
      <c r="G43" s="104">
        <v>3.8999999999999999E-4</v>
      </c>
      <c r="H43" s="104"/>
      <c r="I43" s="104"/>
      <c r="J43" s="104"/>
      <c r="K43" s="104">
        <f>B43*D43*G43</f>
        <v>751.60799999999995</v>
      </c>
      <c r="L43" s="104"/>
    </row>
    <row r="44" spans="1:12" ht="30" x14ac:dyDescent="0.25">
      <c r="A44" s="4" t="s">
        <v>95</v>
      </c>
      <c r="B44" s="115">
        <v>13</v>
      </c>
      <c r="C44" s="115"/>
      <c r="D44" s="115">
        <v>0.3</v>
      </c>
      <c r="E44" s="115"/>
      <c r="F44" s="115"/>
      <c r="G44" s="116">
        <v>2E-3</v>
      </c>
      <c r="H44" s="116"/>
      <c r="I44" s="116"/>
      <c r="J44" s="116"/>
      <c r="K44" s="104">
        <f>B44*D44*G44</f>
        <v>7.7999999999999996E-3</v>
      </c>
      <c r="L44" s="104"/>
    </row>
    <row r="45" spans="1:12" ht="36.75" customHeight="1" x14ac:dyDescent="0.25">
      <c r="A45" s="117" t="s">
        <v>266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9">
        <f>SUM(K42:L44)</f>
        <v>4733.0357999999997</v>
      </c>
      <c r="L45" s="119"/>
    </row>
    <row r="46" spans="1:12" x14ac:dyDescent="0.25">
      <c r="A46" s="27"/>
    </row>
    <row r="47" spans="1:12" x14ac:dyDescent="0.25">
      <c r="A47" s="27" t="s">
        <v>103</v>
      </c>
      <c r="F47">
        <f>'Пр 2. Лист 4. Состав ПНГ'!E69/100</f>
        <v>0.487703</v>
      </c>
    </row>
    <row r="49" spans="1:10" x14ac:dyDescent="0.25">
      <c r="A49" t="s">
        <v>89</v>
      </c>
      <c r="F49">
        <v>28</v>
      </c>
    </row>
    <row r="51" spans="1:10" x14ac:dyDescent="0.25">
      <c r="D51" t="str">
        <f>CONCATENATE(A26," = ",F49," * ","0,001 * ",F47," * ",K45, " = ")</f>
        <v xml:space="preserve">PET,CH4,y = 28 * 0,001 * 0.487703 * 4733.0358 = </v>
      </c>
      <c r="I51">
        <f>ROUND(F49*0.001*F47*K45,0)</f>
        <v>65</v>
      </c>
      <c r="J51" t="s">
        <v>105</v>
      </c>
    </row>
    <row r="53" spans="1:10" x14ac:dyDescent="0.25">
      <c r="A53" t="s">
        <v>108</v>
      </c>
    </row>
    <row r="55" spans="1:10" ht="45" customHeight="1" x14ac:dyDescent="0.25">
      <c r="A55" s="104" t="s">
        <v>34</v>
      </c>
      <c r="B55" s="104"/>
      <c r="C55" s="104" t="s">
        <v>39</v>
      </c>
      <c r="D55" s="104"/>
    </row>
    <row r="56" spans="1:10" x14ac:dyDescent="0.25">
      <c r="A56" s="104" t="s">
        <v>199</v>
      </c>
      <c r="B56" s="104"/>
      <c r="C56" s="111">
        <f>I51*3/4</f>
        <v>48.75</v>
      </c>
      <c r="D56" s="111"/>
    </row>
    <row r="57" spans="1:10" x14ac:dyDescent="0.25">
      <c r="A57" s="104">
        <v>2025</v>
      </c>
      <c r="B57" s="104"/>
      <c r="C57" s="111">
        <f>I51</f>
        <v>65</v>
      </c>
      <c r="D57" s="111"/>
    </row>
    <row r="58" spans="1:10" x14ac:dyDescent="0.25">
      <c r="A58" s="104">
        <v>2026</v>
      </c>
      <c r="B58" s="104"/>
      <c r="C58" s="111">
        <f t="shared" ref="C58:C65" si="0">C57</f>
        <v>65</v>
      </c>
      <c r="D58" s="111"/>
    </row>
    <row r="59" spans="1:10" x14ac:dyDescent="0.25">
      <c r="A59" s="104">
        <v>2027</v>
      </c>
      <c r="B59" s="104"/>
      <c r="C59" s="111">
        <f t="shared" si="0"/>
        <v>65</v>
      </c>
      <c r="D59" s="111"/>
    </row>
    <row r="60" spans="1:10" x14ac:dyDescent="0.25">
      <c r="A60" s="104">
        <v>2028</v>
      </c>
      <c r="B60" s="104"/>
      <c r="C60" s="111">
        <f t="shared" si="0"/>
        <v>65</v>
      </c>
      <c r="D60" s="111"/>
    </row>
    <row r="61" spans="1:10" x14ac:dyDescent="0.25">
      <c r="A61" s="104">
        <v>2029</v>
      </c>
      <c r="B61" s="104"/>
      <c r="C61" s="111">
        <f t="shared" si="0"/>
        <v>65</v>
      </c>
      <c r="D61" s="111"/>
    </row>
    <row r="62" spans="1:10" x14ac:dyDescent="0.25">
      <c r="A62" s="104">
        <v>2030</v>
      </c>
      <c r="B62" s="104"/>
      <c r="C62" s="111">
        <f t="shared" si="0"/>
        <v>65</v>
      </c>
      <c r="D62" s="111"/>
    </row>
    <row r="63" spans="1:10" x14ac:dyDescent="0.25">
      <c r="A63" s="104">
        <v>2031</v>
      </c>
      <c r="B63" s="104"/>
      <c r="C63" s="111">
        <f t="shared" si="0"/>
        <v>65</v>
      </c>
      <c r="D63" s="111"/>
    </row>
    <row r="64" spans="1:10" x14ac:dyDescent="0.25">
      <c r="A64" s="104">
        <v>2032</v>
      </c>
      <c r="B64" s="104"/>
      <c r="C64" s="111">
        <f t="shared" si="0"/>
        <v>65</v>
      </c>
      <c r="D64" s="111"/>
    </row>
    <row r="65" spans="1:10" x14ac:dyDescent="0.25">
      <c r="A65" s="104">
        <v>2033</v>
      </c>
      <c r="B65" s="104"/>
      <c r="C65" s="111">
        <f t="shared" si="0"/>
        <v>65</v>
      </c>
      <c r="D65" s="111"/>
    </row>
    <row r="66" spans="1:10" x14ac:dyDescent="0.25">
      <c r="A66" s="104" t="s">
        <v>201</v>
      </c>
      <c r="B66" s="104"/>
      <c r="C66" s="111">
        <f>I51*1/4</f>
        <v>16.25</v>
      </c>
      <c r="D66" s="111"/>
    </row>
    <row r="67" spans="1:10" x14ac:dyDescent="0.25">
      <c r="A67" s="112" t="s">
        <v>33</v>
      </c>
      <c r="B67" s="113"/>
      <c r="C67" s="114">
        <f>SUM(C56:D66)</f>
        <v>650</v>
      </c>
      <c r="D67" s="114"/>
    </row>
    <row r="70" spans="1:10" x14ac:dyDescent="0.25">
      <c r="A70" t="s">
        <v>38</v>
      </c>
    </row>
    <row r="72" spans="1:10" ht="312.75" customHeight="1" x14ac:dyDescent="0.25">
      <c r="A72" s="103" t="s">
        <v>200</v>
      </c>
      <c r="B72" s="103"/>
      <c r="C72" s="103" t="s">
        <v>196</v>
      </c>
      <c r="D72" s="103"/>
      <c r="E72" s="103" t="s">
        <v>197</v>
      </c>
      <c r="F72" s="103"/>
      <c r="G72" s="109" t="s">
        <v>198</v>
      </c>
      <c r="H72" s="110"/>
      <c r="I72" s="103" t="s">
        <v>202</v>
      </c>
      <c r="J72" s="103"/>
    </row>
    <row r="73" spans="1:10" ht="18.75" x14ac:dyDescent="0.3">
      <c r="A73" s="103" t="s">
        <v>199</v>
      </c>
      <c r="B73" s="103"/>
      <c r="C73" s="102">
        <v>0</v>
      </c>
      <c r="D73" s="102"/>
      <c r="E73" s="102">
        <v>0</v>
      </c>
      <c r="F73" s="102"/>
      <c r="G73" s="102">
        <f t="shared" ref="G73:G84" si="1">C56</f>
        <v>48.75</v>
      </c>
      <c r="H73" s="102"/>
      <c r="I73" s="102">
        <f>C73+E73+G73</f>
        <v>48.75</v>
      </c>
      <c r="J73" s="102"/>
    </row>
    <row r="74" spans="1:10" ht="18.75" x14ac:dyDescent="0.3">
      <c r="A74" s="103">
        <v>2025</v>
      </c>
      <c r="B74" s="103"/>
      <c r="C74" s="102">
        <v>0</v>
      </c>
      <c r="D74" s="102"/>
      <c r="E74" s="102">
        <f>E73</f>
        <v>0</v>
      </c>
      <c r="F74" s="102"/>
      <c r="G74" s="102">
        <f t="shared" si="1"/>
        <v>65</v>
      </c>
      <c r="H74" s="102"/>
      <c r="I74" s="102">
        <f t="shared" ref="I74:I84" si="2">C74+E74+G74</f>
        <v>65</v>
      </c>
      <c r="J74" s="102"/>
    </row>
    <row r="75" spans="1:10" ht="18.75" x14ac:dyDescent="0.3">
      <c r="A75" s="103">
        <v>2026</v>
      </c>
      <c r="B75" s="103"/>
      <c r="C75" s="102">
        <v>0</v>
      </c>
      <c r="D75" s="102"/>
      <c r="E75" s="102">
        <f t="shared" ref="E75:E83" si="3">E74</f>
        <v>0</v>
      </c>
      <c r="F75" s="102"/>
      <c r="G75" s="102">
        <f t="shared" si="1"/>
        <v>65</v>
      </c>
      <c r="H75" s="102"/>
      <c r="I75" s="102">
        <f t="shared" si="2"/>
        <v>65</v>
      </c>
      <c r="J75" s="102"/>
    </row>
    <row r="76" spans="1:10" ht="18.75" x14ac:dyDescent="0.3">
      <c r="A76" s="103">
        <v>2027</v>
      </c>
      <c r="B76" s="103"/>
      <c r="C76" s="102">
        <v>0</v>
      </c>
      <c r="D76" s="102"/>
      <c r="E76" s="102">
        <f t="shared" si="3"/>
        <v>0</v>
      </c>
      <c r="F76" s="102"/>
      <c r="G76" s="102">
        <f t="shared" si="1"/>
        <v>65</v>
      </c>
      <c r="H76" s="102"/>
      <c r="I76" s="102">
        <f t="shared" si="2"/>
        <v>65</v>
      </c>
      <c r="J76" s="102"/>
    </row>
    <row r="77" spans="1:10" ht="18.75" x14ac:dyDescent="0.3">
      <c r="A77" s="103">
        <v>2028</v>
      </c>
      <c r="B77" s="103"/>
      <c r="C77" s="102">
        <v>0</v>
      </c>
      <c r="D77" s="102"/>
      <c r="E77" s="102">
        <f t="shared" si="3"/>
        <v>0</v>
      </c>
      <c r="F77" s="102"/>
      <c r="G77" s="102">
        <f t="shared" si="1"/>
        <v>65</v>
      </c>
      <c r="H77" s="102"/>
      <c r="I77" s="102">
        <f t="shared" si="2"/>
        <v>65</v>
      </c>
      <c r="J77" s="102"/>
    </row>
    <row r="78" spans="1:10" ht="18.75" x14ac:dyDescent="0.3">
      <c r="A78" s="103">
        <v>2029</v>
      </c>
      <c r="B78" s="103"/>
      <c r="C78" s="102">
        <v>0</v>
      </c>
      <c r="D78" s="102"/>
      <c r="E78" s="102">
        <f t="shared" si="3"/>
        <v>0</v>
      </c>
      <c r="F78" s="102"/>
      <c r="G78" s="102">
        <f t="shared" si="1"/>
        <v>65</v>
      </c>
      <c r="H78" s="102"/>
      <c r="I78" s="102">
        <f t="shared" si="2"/>
        <v>65</v>
      </c>
      <c r="J78" s="102"/>
    </row>
    <row r="79" spans="1:10" ht="18.75" x14ac:dyDescent="0.3">
      <c r="A79" s="103">
        <v>2030</v>
      </c>
      <c r="B79" s="103"/>
      <c r="C79" s="102">
        <v>0</v>
      </c>
      <c r="D79" s="102"/>
      <c r="E79" s="102">
        <f t="shared" si="3"/>
        <v>0</v>
      </c>
      <c r="F79" s="102"/>
      <c r="G79" s="102">
        <f t="shared" si="1"/>
        <v>65</v>
      </c>
      <c r="H79" s="102"/>
      <c r="I79" s="102">
        <f t="shared" si="2"/>
        <v>65</v>
      </c>
      <c r="J79" s="102"/>
    </row>
    <row r="80" spans="1:10" ht="18.75" x14ac:dyDescent="0.3">
      <c r="A80" s="103">
        <v>2031</v>
      </c>
      <c r="B80" s="103"/>
      <c r="C80" s="102">
        <v>0</v>
      </c>
      <c r="D80" s="102"/>
      <c r="E80" s="102">
        <f t="shared" si="3"/>
        <v>0</v>
      </c>
      <c r="F80" s="102"/>
      <c r="G80" s="102">
        <f t="shared" si="1"/>
        <v>65</v>
      </c>
      <c r="H80" s="102"/>
      <c r="I80" s="102">
        <f t="shared" si="2"/>
        <v>65</v>
      </c>
      <c r="J80" s="102"/>
    </row>
    <row r="81" spans="1:10" ht="18.75" x14ac:dyDescent="0.3">
      <c r="A81" s="103">
        <v>2032</v>
      </c>
      <c r="B81" s="103"/>
      <c r="C81" s="102">
        <v>0</v>
      </c>
      <c r="D81" s="102"/>
      <c r="E81" s="102">
        <f t="shared" si="3"/>
        <v>0</v>
      </c>
      <c r="F81" s="102"/>
      <c r="G81" s="102">
        <f t="shared" si="1"/>
        <v>65</v>
      </c>
      <c r="H81" s="102"/>
      <c r="I81" s="102">
        <f t="shared" si="2"/>
        <v>65</v>
      </c>
      <c r="J81" s="102"/>
    </row>
    <row r="82" spans="1:10" ht="18.75" x14ac:dyDescent="0.3">
      <c r="A82" s="103">
        <v>2033</v>
      </c>
      <c r="B82" s="103"/>
      <c r="C82" s="102">
        <v>0</v>
      </c>
      <c r="D82" s="102"/>
      <c r="E82" s="102">
        <f t="shared" si="3"/>
        <v>0</v>
      </c>
      <c r="F82" s="102"/>
      <c r="G82" s="102">
        <f t="shared" si="1"/>
        <v>65</v>
      </c>
      <c r="H82" s="102"/>
      <c r="I82" s="102">
        <f t="shared" si="2"/>
        <v>65</v>
      </c>
      <c r="J82" s="102"/>
    </row>
    <row r="83" spans="1:10" ht="18.75" x14ac:dyDescent="0.3">
      <c r="A83" s="103" t="s">
        <v>201</v>
      </c>
      <c r="B83" s="103"/>
      <c r="C83" s="102">
        <v>0</v>
      </c>
      <c r="D83" s="102"/>
      <c r="E83" s="102">
        <f t="shared" si="3"/>
        <v>0</v>
      </c>
      <c r="F83" s="102"/>
      <c r="G83" s="102">
        <f t="shared" si="1"/>
        <v>16.25</v>
      </c>
      <c r="H83" s="102"/>
      <c r="I83" s="102">
        <f t="shared" ref="I83" si="4">C83+E83+G83</f>
        <v>16.25</v>
      </c>
      <c r="J83" s="102"/>
    </row>
    <row r="84" spans="1:10" ht="18.75" x14ac:dyDescent="0.3">
      <c r="A84" s="108" t="s">
        <v>33</v>
      </c>
      <c r="B84" s="108"/>
      <c r="C84" s="105">
        <v>0</v>
      </c>
      <c r="D84" s="105"/>
      <c r="E84" s="105">
        <f>SUM(E73:F82)</f>
        <v>0</v>
      </c>
      <c r="F84" s="105"/>
      <c r="G84" s="102">
        <f t="shared" si="1"/>
        <v>650</v>
      </c>
      <c r="H84" s="102"/>
      <c r="I84" s="105">
        <f t="shared" si="2"/>
        <v>650</v>
      </c>
      <c r="J84" s="105"/>
    </row>
  </sheetData>
  <mergeCells count="127">
    <mergeCell ref="A15:P15"/>
    <mergeCell ref="B35:C35"/>
    <mergeCell ref="D35:F35"/>
    <mergeCell ref="B36:C36"/>
    <mergeCell ref="D36:F36"/>
    <mergeCell ref="B37:C37"/>
    <mergeCell ref="D37:F37"/>
    <mergeCell ref="A19:P19"/>
    <mergeCell ref="A22:N22"/>
    <mergeCell ref="A21:N21"/>
    <mergeCell ref="A23:N23"/>
    <mergeCell ref="B42:C42"/>
    <mergeCell ref="D42:F42"/>
    <mergeCell ref="G42:J42"/>
    <mergeCell ref="K42:L42"/>
    <mergeCell ref="B43:C43"/>
    <mergeCell ref="D43:F43"/>
    <mergeCell ref="G43:J43"/>
    <mergeCell ref="K43:L43"/>
    <mergeCell ref="B38:C38"/>
    <mergeCell ref="D38:F38"/>
    <mergeCell ref="B41:C41"/>
    <mergeCell ref="D41:F41"/>
    <mergeCell ref="G41:J41"/>
    <mergeCell ref="K41:L41"/>
    <mergeCell ref="B44:C44"/>
    <mergeCell ref="D44:F44"/>
    <mergeCell ref="G44:J44"/>
    <mergeCell ref="A57:B57"/>
    <mergeCell ref="A58:B58"/>
    <mergeCell ref="A59:B59"/>
    <mergeCell ref="K44:L44"/>
    <mergeCell ref="A45:J45"/>
    <mergeCell ref="K45:L45"/>
    <mergeCell ref="A67:B67"/>
    <mergeCell ref="C67:D67"/>
    <mergeCell ref="A66:B66"/>
    <mergeCell ref="C66:D66"/>
    <mergeCell ref="C55:D55"/>
    <mergeCell ref="C56:D56"/>
    <mergeCell ref="C57:D57"/>
    <mergeCell ref="C58:D58"/>
    <mergeCell ref="C59:D59"/>
    <mergeCell ref="C60:D60"/>
    <mergeCell ref="A56:B56"/>
    <mergeCell ref="G77:H77"/>
    <mergeCell ref="C72:D72"/>
    <mergeCell ref="E72:F72"/>
    <mergeCell ref="G72:H72"/>
    <mergeCell ref="I72:J72"/>
    <mergeCell ref="C61:D61"/>
    <mergeCell ref="C62:D62"/>
    <mergeCell ref="C63:D63"/>
    <mergeCell ref="C64:D64"/>
    <mergeCell ref="C65:D65"/>
    <mergeCell ref="A55:B55"/>
    <mergeCell ref="A75:B75"/>
    <mergeCell ref="A76:B76"/>
    <mergeCell ref="A77:B77"/>
    <mergeCell ref="A78:B78"/>
    <mergeCell ref="C73:D73"/>
    <mergeCell ref="E73:F73"/>
    <mergeCell ref="G73:H73"/>
    <mergeCell ref="I73:J73"/>
    <mergeCell ref="C74:D74"/>
    <mergeCell ref="E74:F74"/>
    <mergeCell ref="G74:H74"/>
    <mergeCell ref="I74:J74"/>
    <mergeCell ref="G78:H78"/>
    <mergeCell ref="I78:J78"/>
    <mergeCell ref="C75:D75"/>
    <mergeCell ref="E75:F75"/>
    <mergeCell ref="G75:H75"/>
    <mergeCell ref="I75:J75"/>
    <mergeCell ref="C76:D76"/>
    <mergeCell ref="E76:F76"/>
    <mergeCell ref="G76:H76"/>
    <mergeCell ref="I76:J76"/>
    <mergeCell ref="E77:F77"/>
    <mergeCell ref="A74:B74"/>
    <mergeCell ref="I77:J77"/>
    <mergeCell ref="C78:D78"/>
    <mergeCell ref="C84:D84"/>
    <mergeCell ref="E84:F84"/>
    <mergeCell ref="G84:H84"/>
    <mergeCell ref="I84:J84"/>
    <mergeCell ref="B9:N9"/>
    <mergeCell ref="B10:N10"/>
    <mergeCell ref="B11:N11"/>
    <mergeCell ref="A13:N13"/>
    <mergeCell ref="A17:N17"/>
    <mergeCell ref="C81:D81"/>
    <mergeCell ref="E81:F81"/>
    <mergeCell ref="G81:H81"/>
    <mergeCell ref="I81:J81"/>
    <mergeCell ref="C82:D82"/>
    <mergeCell ref="E82:F82"/>
    <mergeCell ref="G82:H82"/>
    <mergeCell ref="I82:J82"/>
    <mergeCell ref="C79:D79"/>
    <mergeCell ref="E79:F79"/>
    <mergeCell ref="G79:H79"/>
    <mergeCell ref="A84:B84"/>
    <mergeCell ref="E78:F78"/>
    <mergeCell ref="A72:B72"/>
    <mergeCell ref="C83:D83"/>
    <mergeCell ref="E83:F83"/>
    <mergeCell ref="G83:H83"/>
    <mergeCell ref="I83:J83"/>
    <mergeCell ref="A60:B60"/>
    <mergeCell ref="A61:B61"/>
    <mergeCell ref="A62:B62"/>
    <mergeCell ref="A63:B63"/>
    <mergeCell ref="A64:B64"/>
    <mergeCell ref="A65:B65"/>
    <mergeCell ref="A79:B79"/>
    <mergeCell ref="A80:B80"/>
    <mergeCell ref="A81:B81"/>
    <mergeCell ref="A82:B82"/>
    <mergeCell ref="I79:J79"/>
    <mergeCell ref="C80:D80"/>
    <mergeCell ref="E80:F80"/>
    <mergeCell ref="G80:H80"/>
    <mergeCell ref="I80:J80"/>
    <mergeCell ref="C77:D77"/>
    <mergeCell ref="A83:B83"/>
    <mergeCell ref="A73:B73"/>
  </mergeCells>
  <pageMargins left="0.7" right="0.7" top="0.75" bottom="0.75" header="0.3" footer="0.3"/>
  <pageSetup paperSize="9" scale="54" orientation="portrait" r:id="rId1"/>
  <rowBreaks count="1" manualBreakCount="1">
    <brk id="5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zoomScale="60" zoomScaleNormal="56" workbookViewId="0">
      <selection activeCell="AC15" sqref="AC15"/>
    </sheetView>
  </sheetViews>
  <sheetFormatPr defaultRowHeight="15" x14ac:dyDescent="0.25"/>
  <cols>
    <col min="9" max="11" width="9.85546875" bestFit="1" customWidth="1"/>
    <col min="12" max="12" width="18.85546875" customWidth="1"/>
  </cols>
  <sheetData>
    <row r="1" spans="1:8" x14ac:dyDescent="0.25">
      <c r="A1" t="s">
        <v>135</v>
      </c>
    </row>
    <row r="2" spans="1:8" x14ac:dyDescent="0.25">
      <c r="A2" t="s">
        <v>130</v>
      </c>
    </row>
    <row r="4" spans="1:8" x14ac:dyDescent="0.25">
      <c r="A4" t="s">
        <v>40</v>
      </c>
    </row>
    <row r="7" spans="1:8" x14ac:dyDescent="0.25">
      <c r="A7" t="s">
        <v>37</v>
      </c>
    </row>
    <row r="8" spans="1:8" x14ac:dyDescent="0.25">
      <c r="A8" t="s">
        <v>41</v>
      </c>
      <c r="B8" t="s">
        <v>42</v>
      </c>
    </row>
    <row r="9" spans="1:8" x14ac:dyDescent="0.25">
      <c r="A9" t="s">
        <v>43</v>
      </c>
      <c r="B9" t="s">
        <v>44</v>
      </c>
    </row>
    <row r="10" spans="1:8" x14ac:dyDescent="0.25">
      <c r="A10" t="s">
        <v>35</v>
      </c>
      <c r="B10" t="s">
        <v>45</v>
      </c>
    </row>
    <row r="12" spans="1:8" x14ac:dyDescent="0.25">
      <c r="A12" t="s">
        <v>46</v>
      </c>
    </row>
    <row r="13" spans="1:8" ht="43.5" customHeight="1" x14ac:dyDescent="0.25">
      <c r="A13" s="124" t="s">
        <v>200</v>
      </c>
      <c r="B13" s="125"/>
      <c r="C13" s="131" t="s">
        <v>203</v>
      </c>
      <c r="D13" s="132"/>
      <c r="E13" s="131" t="s">
        <v>204</v>
      </c>
      <c r="F13" s="132"/>
      <c r="G13" s="131" t="s">
        <v>205</v>
      </c>
      <c r="H13" s="132"/>
    </row>
    <row r="14" spans="1:8" ht="72" customHeight="1" x14ac:dyDescent="0.25">
      <c r="A14" s="126"/>
      <c r="B14" s="127"/>
      <c r="C14" s="133"/>
      <c r="D14" s="134"/>
      <c r="E14" s="133"/>
      <c r="F14" s="134"/>
      <c r="G14" s="133"/>
      <c r="H14" s="134"/>
    </row>
    <row r="15" spans="1:8" ht="34.5" customHeight="1" x14ac:dyDescent="0.25">
      <c r="A15" s="103" t="s">
        <v>199</v>
      </c>
      <c r="B15" s="103"/>
      <c r="C15" s="128">
        <f>'Пр 2. Лист 1. БЛ по М0014'!G88</f>
        <v>3419</v>
      </c>
      <c r="D15" s="129"/>
      <c r="E15" s="121">
        <f>'Пр. 2 Лист 2. ПЛ по М0014'!I73</f>
        <v>48.75</v>
      </c>
      <c r="F15" s="122"/>
      <c r="G15" s="123">
        <f>C15-E15</f>
        <v>3370.25</v>
      </c>
      <c r="H15" s="123"/>
    </row>
    <row r="16" spans="1:8" ht="18.75" x14ac:dyDescent="0.25">
      <c r="A16" s="103">
        <v>2025</v>
      </c>
      <c r="B16" s="103"/>
      <c r="C16" s="128">
        <f>'Пр 2. Лист 1. БЛ по М0014'!G89</f>
        <v>5499</v>
      </c>
      <c r="D16" s="129"/>
      <c r="E16" s="121">
        <f>'Пр. 2 Лист 2. ПЛ по М0014'!I74</f>
        <v>65</v>
      </c>
      <c r="F16" s="122"/>
      <c r="G16" s="123">
        <f t="shared" ref="G16:G24" si="0">C16-E16</f>
        <v>5434</v>
      </c>
      <c r="H16" s="123"/>
    </row>
    <row r="17" spans="1:11" ht="18.75" x14ac:dyDescent="0.25">
      <c r="A17" s="103">
        <v>2026</v>
      </c>
      <c r="B17" s="103"/>
      <c r="C17" s="128">
        <f>'Пр 2. Лист 1. БЛ по М0014'!G90</f>
        <v>5108</v>
      </c>
      <c r="D17" s="129"/>
      <c r="E17" s="121">
        <f>'Пр. 2 Лист 2. ПЛ по М0014'!I75</f>
        <v>65</v>
      </c>
      <c r="F17" s="122"/>
      <c r="G17" s="123">
        <f t="shared" si="0"/>
        <v>5043</v>
      </c>
      <c r="H17" s="123"/>
    </row>
    <row r="18" spans="1:11" ht="18.75" x14ac:dyDescent="0.25">
      <c r="A18" s="103">
        <v>2027</v>
      </c>
      <c r="B18" s="103"/>
      <c r="C18" s="128">
        <f>'Пр 2. Лист 1. БЛ по М0014'!G91</f>
        <v>5705</v>
      </c>
      <c r="D18" s="129"/>
      <c r="E18" s="121">
        <f>'Пр. 2 Лист 2. ПЛ по М0014'!I76</f>
        <v>65</v>
      </c>
      <c r="F18" s="122"/>
      <c r="G18" s="123">
        <f t="shared" si="0"/>
        <v>5640</v>
      </c>
      <c r="H18" s="123"/>
    </row>
    <row r="19" spans="1:11" ht="18.75" x14ac:dyDescent="0.25">
      <c r="A19" s="103">
        <v>2028</v>
      </c>
      <c r="B19" s="103"/>
      <c r="C19" s="128">
        <f>'Пр 2. Лист 1. БЛ по М0014'!G92</f>
        <v>5303</v>
      </c>
      <c r="D19" s="129"/>
      <c r="E19" s="121">
        <f>'Пр. 2 Лист 2. ПЛ по М0014'!I77</f>
        <v>65</v>
      </c>
      <c r="F19" s="122"/>
      <c r="G19" s="123">
        <f t="shared" si="0"/>
        <v>5238</v>
      </c>
      <c r="H19" s="123"/>
    </row>
    <row r="20" spans="1:11" ht="18.75" x14ac:dyDescent="0.25">
      <c r="A20" s="103">
        <v>2029</v>
      </c>
      <c r="B20" s="103"/>
      <c r="C20" s="128">
        <f>'Пр 2. Лист 1. БЛ по М0014'!G93</f>
        <v>6591</v>
      </c>
      <c r="D20" s="129"/>
      <c r="E20" s="121">
        <f>'Пр. 2 Лист 2. ПЛ по М0014'!I78</f>
        <v>65</v>
      </c>
      <c r="F20" s="122"/>
      <c r="G20" s="123">
        <f t="shared" si="0"/>
        <v>6526</v>
      </c>
      <c r="H20" s="123"/>
    </row>
    <row r="21" spans="1:11" ht="18.75" x14ac:dyDescent="0.25">
      <c r="A21" s="103">
        <v>2030</v>
      </c>
      <c r="B21" s="103"/>
      <c r="C21" s="128">
        <f>'Пр 2. Лист 1. БЛ по М0014'!G94</f>
        <v>7972</v>
      </c>
      <c r="D21" s="129"/>
      <c r="E21" s="121">
        <f>'Пр. 2 Лист 2. ПЛ по М0014'!I79</f>
        <v>65</v>
      </c>
      <c r="F21" s="122"/>
      <c r="G21" s="123">
        <f t="shared" si="0"/>
        <v>7907</v>
      </c>
      <c r="H21" s="123"/>
    </row>
    <row r="22" spans="1:11" ht="18.75" x14ac:dyDescent="0.25">
      <c r="A22" s="103">
        <v>2031</v>
      </c>
      <c r="B22" s="103"/>
      <c r="C22" s="128">
        <f>'Пр 2. Лист 1. БЛ по М0014'!G95</f>
        <v>10960</v>
      </c>
      <c r="D22" s="129"/>
      <c r="E22" s="121">
        <f>'Пр. 2 Лист 2. ПЛ по М0014'!I80</f>
        <v>65</v>
      </c>
      <c r="F22" s="122"/>
      <c r="G22" s="123">
        <f t="shared" si="0"/>
        <v>10895</v>
      </c>
      <c r="H22" s="123"/>
    </row>
    <row r="23" spans="1:11" ht="18.75" x14ac:dyDescent="0.25">
      <c r="A23" s="103">
        <v>2032</v>
      </c>
      <c r="B23" s="103"/>
      <c r="C23" s="128">
        <f>'Пр 2. Лист 1. БЛ по М0014'!G96</f>
        <v>13237</v>
      </c>
      <c r="D23" s="129"/>
      <c r="E23" s="121">
        <f>'Пр. 2 Лист 2. ПЛ по М0014'!I81</f>
        <v>65</v>
      </c>
      <c r="F23" s="122"/>
      <c r="G23" s="123">
        <f t="shared" si="0"/>
        <v>13172</v>
      </c>
      <c r="H23" s="123"/>
    </row>
    <row r="24" spans="1:11" ht="18.75" x14ac:dyDescent="0.25">
      <c r="A24" s="103">
        <v>2033</v>
      </c>
      <c r="B24" s="103"/>
      <c r="C24" s="128">
        <f>'Пр 2. Лист 1. БЛ по М0014'!G97</f>
        <v>15147</v>
      </c>
      <c r="D24" s="129"/>
      <c r="E24" s="121">
        <f>'Пр. 2 Лист 2. ПЛ по М0014'!I82</f>
        <v>65</v>
      </c>
      <c r="F24" s="122"/>
      <c r="G24" s="123">
        <f t="shared" si="0"/>
        <v>15082</v>
      </c>
      <c r="H24" s="123"/>
    </row>
    <row r="25" spans="1:11" ht="39.75" customHeight="1" x14ac:dyDescent="0.25">
      <c r="A25" s="103" t="s">
        <v>201</v>
      </c>
      <c r="B25" s="103"/>
      <c r="C25" s="128">
        <f>'Пр 2. Лист 1. БЛ по М0014'!G98</f>
        <v>3845</v>
      </c>
      <c r="D25" s="129"/>
      <c r="E25" s="121">
        <f>'Пр. 2 Лист 2. ПЛ по М0014'!I83</f>
        <v>16.25</v>
      </c>
      <c r="F25" s="122"/>
      <c r="G25" s="123">
        <f t="shared" ref="G25" si="1">C25-E25</f>
        <v>3828.75</v>
      </c>
      <c r="H25" s="123"/>
    </row>
    <row r="26" spans="1:11" ht="24" customHeight="1" x14ac:dyDescent="0.25">
      <c r="A26" s="135" t="s">
        <v>33</v>
      </c>
      <c r="B26" s="136"/>
      <c r="C26" s="130">
        <f>SUM(C15:D25)</f>
        <v>82786</v>
      </c>
      <c r="D26" s="130"/>
      <c r="E26" s="130">
        <f>SUM(E15:F25)</f>
        <v>650</v>
      </c>
      <c r="F26" s="130"/>
      <c r="G26" s="130">
        <f>SUM(G15:H25)</f>
        <v>82136</v>
      </c>
      <c r="H26" s="130"/>
      <c r="I26" s="81"/>
      <c r="J26" s="81"/>
      <c r="K26" s="81"/>
    </row>
    <row r="27" spans="1:11" x14ac:dyDescent="0.25">
      <c r="D27" s="33"/>
      <c r="I27" s="81"/>
      <c r="J27" s="81"/>
      <c r="K27" s="81"/>
    </row>
  </sheetData>
  <mergeCells count="52">
    <mergeCell ref="A26:B26"/>
    <mergeCell ref="C13:D14"/>
    <mergeCell ref="C15:D15"/>
    <mergeCell ref="C16:D16"/>
    <mergeCell ref="C17:D17"/>
    <mergeCell ref="C18:D18"/>
    <mergeCell ref="C19:D19"/>
    <mergeCell ref="C20:D20"/>
    <mergeCell ref="C26:D26"/>
    <mergeCell ref="A15:B15"/>
    <mergeCell ref="A16:B16"/>
    <mergeCell ref="A17:B17"/>
    <mergeCell ref="A18:B18"/>
    <mergeCell ref="A19:B19"/>
    <mergeCell ref="C24:D24"/>
    <mergeCell ref="E13:F14"/>
    <mergeCell ref="E15:F15"/>
    <mergeCell ref="E16:F16"/>
    <mergeCell ref="E17:F17"/>
    <mergeCell ref="E18:F18"/>
    <mergeCell ref="G26:H26"/>
    <mergeCell ref="E26:F26"/>
    <mergeCell ref="G13:H14"/>
    <mergeCell ref="G15:H15"/>
    <mergeCell ref="G16:H16"/>
    <mergeCell ref="G17:H17"/>
    <mergeCell ref="G18:H18"/>
    <mergeCell ref="G19:H19"/>
    <mergeCell ref="G20:H20"/>
    <mergeCell ref="G21:H21"/>
    <mergeCell ref="G22:H22"/>
    <mergeCell ref="E19:F19"/>
    <mergeCell ref="E20:F20"/>
    <mergeCell ref="E21:F21"/>
    <mergeCell ref="E22:F22"/>
    <mergeCell ref="E23:F23"/>
    <mergeCell ref="E25:F25"/>
    <mergeCell ref="G25:H25"/>
    <mergeCell ref="A25:B25"/>
    <mergeCell ref="A13:B14"/>
    <mergeCell ref="C25:D25"/>
    <mergeCell ref="A20:B20"/>
    <mergeCell ref="A21:B21"/>
    <mergeCell ref="A22:B22"/>
    <mergeCell ref="A23:B23"/>
    <mergeCell ref="A24:B24"/>
    <mergeCell ref="G23:H23"/>
    <mergeCell ref="G24:H24"/>
    <mergeCell ref="E24:F24"/>
    <mergeCell ref="C21:D21"/>
    <mergeCell ref="C22:D22"/>
    <mergeCell ref="C23:D23"/>
  </mergeCells>
  <pageMargins left="0.7" right="0.7" top="0.75" bottom="0.75" header="0.3" footer="0.3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8"/>
  <sheetViews>
    <sheetView view="pageBreakPreview" zoomScale="60" zoomScaleNormal="40" workbookViewId="0">
      <selection activeCell="AE12" sqref="AE12"/>
    </sheetView>
  </sheetViews>
  <sheetFormatPr defaultRowHeight="15" x14ac:dyDescent="0.25"/>
  <cols>
    <col min="2" max="2" width="27.7109375" bestFit="1" customWidth="1"/>
    <col min="3" max="18" width="13.5703125" customWidth="1"/>
    <col min="19" max="21" width="13.42578125" customWidth="1"/>
    <col min="22" max="22" width="15" customWidth="1"/>
  </cols>
  <sheetData>
    <row r="1" spans="1:18" x14ac:dyDescent="0.25">
      <c r="A1" t="s">
        <v>135</v>
      </c>
    </row>
    <row r="2" spans="1:18" x14ac:dyDescent="0.25">
      <c r="A2" t="s">
        <v>133</v>
      </c>
    </row>
    <row r="4" spans="1:18" x14ac:dyDescent="0.25">
      <c r="A4" s="2" t="s">
        <v>19</v>
      </c>
    </row>
    <row r="5" spans="1:18" x14ac:dyDescent="0.25">
      <c r="A5" s="2" t="s">
        <v>31</v>
      </c>
    </row>
    <row r="6" spans="1:18" ht="75" x14ac:dyDescent="0.25">
      <c r="A6" s="3" t="s">
        <v>29</v>
      </c>
      <c r="B6" s="3" t="s">
        <v>30</v>
      </c>
      <c r="C6" s="4" t="s">
        <v>0</v>
      </c>
      <c r="D6" s="4" t="s">
        <v>26</v>
      </c>
      <c r="E6" s="4" t="s">
        <v>1</v>
      </c>
      <c r="F6" s="4" t="s">
        <v>2</v>
      </c>
      <c r="G6" s="4" t="s">
        <v>3</v>
      </c>
      <c r="H6" s="4"/>
      <c r="I6" s="4"/>
      <c r="J6" s="4"/>
      <c r="K6" s="4"/>
      <c r="L6" s="4" t="s">
        <v>4</v>
      </c>
      <c r="M6" s="4" t="s">
        <v>20</v>
      </c>
      <c r="N6" s="4" t="s">
        <v>21</v>
      </c>
      <c r="O6" s="4" t="s">
        <v>22</v>
      </c>
      <c r="P6" s="4" t="s">
        <v>23</v>
      </c>
      <c r="Q6" s="4" t="s">
        <v>24</v>
      </c>
      <c r="R6" s="4" t="s">
        <v>25</v>
      </c>
    </row>
    <row r="7" spans="1:18" x14ac:dyDescent="0.25">
      <c r="A7" s="1">
        <v>1</v>
      </c>
      <c r="B7" s="1" t="s">
        <v>5</v>
      </c>
      <c r="C7" s="1" t="s">
        <v>6</v>
      </c>
      <c r="D7" s="1" t="s">
        <v>7</v>
      </c>
      <c r="E7" s="1">
        <v>8.9999999999999993E-3</v>
      </c>
      <c r="F7" s="1">
        <v>5.4999999999999997E-3</v>
      </c>
      <c r="G7" s="1" t="s">
        <v>7</v>
      </c>
      <c r="H7" s="1"/>
      <c r="I7" s="1"/>
      <c r="J7" s="1"/>
      <c r="K7" s="1"/>
      <c r="L7" s="1" t="s">
        <v>7</v>
      </c>
      <c r="M7" s="1">
        <v>2.5999999999999999E-2</v>
      </c>
      <c r="N7" s="1">
        <v>0.01</v>
      </c>
      <c r="O7" s="1">
        <v>8.5000000000000006E-3</v>
      </c>
      <c r="P7" s="1">
        <v>5.4999999999999997E-3</v>
      </c>
      <c r="Q7" s="1">
        <v>6.4999999999999997E-3</v>
      </c>
      <c r="R7" s="1">
        <v>6.0000000000000001E-3</v>
      </c>
    </row>
    <row r="8" spans="1:18" x14ac:dyDescent="0.25">
      <c r="A8" s="1">
        <v>2</v>
      </c>
      <c r="B8" s="1" t="s">
        <v>8</v>
      </c>
      <c r="C8" s="1">
        <v>2</v>
      </c>
      <c r="D8" s="1">
        <v>14.4</v>
      </c>
      <c r="E8" s="1">
        <v>2</v>
      </c>
      <c r="F8" s="1">
        <v>6.4</v>
      </c>
      <c r="G8" s="1">
        <v>4.5</v>
      </c>
      <c r="H8" s="1"/>
      <c r="I8" s="1"/>
      <c r="J8" s="1"/>
      <c r="K8" s="1"/>
      <c r="L8" s="1">
        <v>4.3</v>
      </c>
      <c r="M8" s="5">
        <v>2.08</v>
      </c>
      <c r="N8" s="1">
        <v>2.0299999999999998</v>
      </c>
      <c r="O8" s="1">
        <v>1.97</v>
      </c>
      <c r="P8" s="1">
        <v>2</v>
      </c>
      <c r="Q8" s="1">
        <v>2.12</v>
      </c>
      <c r="R8" s="1">
        <v>2.27</v>
      </c>
    </row>
    <row r="9" spans="1:18" x14ac:dyDescent="0.25">
      <c r="A9" s="1">
        <v>3</v>
      </c>
      <c r="B9" s="1" t="s">
        <v>9</v>
      </c>
      <c r="C9" s="1">
        <v>2.1</v>
      </c>
      <c r="D9" s="1">
        <v>1.84</v>
      </c>
      <c r="E9" s="1">
        <v>2.2400000000000002</v>
      </c>
      <c r="F9" s="1">
        <v>1.94</v>
      </c>
      <c r="G9" s="1">
        <v>2</v>
      </c>
      <c r="H9" s="1"/>
      <c r="I9" s="1"/>
      <c r="J9" s="1"/>
      <c r="K9" s="1"/>
      <c r="L9" s="1">
        <v>2.4</v>
      </c>
      <c r="M9" s="1">
        <v>2.09</v>
      </c>
      <c r="N9" s="1">
        <v>2.25</v>
      </c>
      <c r="O9" s="1">
        <v>2.33</v>
      </c>
      <c r="P9" s="1">
        <v>2.19</v>
      </c>
      <c r="Q9" s="1">
        <v>2.33</v>
      </c>
      <c r="R9" s="1">
        <v>2.2400000000000002</v>
      </c>
    </row>
    <row r="10" spans="1:18" x14ac:dyDescent="0.25">
      <c r="A10" s="1">
        <v>4</v>
      </c>
      <c r="B10" s="1" t="s">
        <v>10</v>
      </c>
      <c r="C10" s="1">
        <v>72.400000000000006</v>
      </c>
      <c r="D10" s="1">
        <v>58</v>
      </c>
      <c r="E10" s="1">
        <v>74.7</v>
      </c>
      <c r="F10" s="1">
        <v>69.599999999999994</v>
      </c>
      <c r="G10" s="1">
        <v>72.5</v>
      </c>
      <c r="H10" s="1"/>
      <c r="I10" s="1"/>
      <c r="J10" s="1"/>
      <c r="K10" s="1"/>
      <c r="L10" s="1">
        <v>70.099999999999994</v>
      </c>
      <c r="M10" s="1">
        <v>72.599999999999994</v>
      </c>
      <c r="N10" s="1">
        <v>73.599999999999994</v>
      </c>
      <c r="O10" s="1">
        <v>71.5</v>
      </c>
      <c r="P10" s="1">
        <v>75.099999999999994</v>
      </c>
      <c r="Q10" s="1">
        <v>74.3</v>
      </c>
      <c r="R10" s="1">
        <v>74.2</v>
      </c>
    </row>
    <row r="11" spans="1:18" x14ac:dyDescent="0.25">
      <c r="A11" s="1">
        <v>5</v>
      </c>
      <c r="B11" s="1" t="s">
        <v>11</v>
      </c>
      <c r="C11" s="1">
        <v>6.3</v>
      </c>
      <c r="D11" s="1">
        <v>5.7</v>
      </c>
      <c r="E11" s="1">
        <v>6</v>
      </c>
      <c r="F11" s="1">
        <v>5.83</v>
      </c>
      <c r="G11" s="1">
        <v>6.1</v>
      </c>
      <c r="H11" s="1"/>
      <c r="I11" s="1"/>
      <c r="J11" s="1"/>
      <c r="K11" s="1"/>
      <c r="L11" s="1">
        <v>6.5</v>
      </c>
      <c r="M11" s="1">
        <v>6</v>
      </c>
      <c r="N11" s="1">
        <v>6.2</v>
      </c>
      <c r="O11" s="1">
        <v>6.2</v>
      </c>
      <c r="P11" s="1">
        <v>5.4</v>
      </c>
      <c r="Q11" s="1">
        <v>8</v>
      </c>
      <c r="R11" s="1">
        <v>5.7</v>
      </c>
    </row>
    <row r="12" spans="1:18" x14ac:dyDescent="0.25">
      <c r="A12" s="1">
        <v>6</v>
      </c>
      <c r="B12" s="1" t="s">
        <v>12</v>
      </c>
      <c r="C12" s="1">
        <v>8.6</v>
      </c>
      <c r="D12" s="1">
        <v>8.3000000000000007</v>
      </c>
      <c r="E12" s="1">
        <v>7.7</v>
      </c>
      <c r="F12" s="1">
        <v>7.9</v>
      </c>
      <c r="G12" s="1">
        <v>8.1</v>
      </c>
      <c r="H12" s="1"/>
      <c r="I12" s="1"/>
      <c r="J12" s="1"/>
      <c r="K12" s="1"/>
      <c r="L12" s="1">
        <v>8.6999999999999993</v>
      </c>
      <c r="M12" s="1">
        <v>8.5</v>
      </c>
      <c r="N12" s="1">
        <v>8.3000000000000007</v>
      </c>
      <c r="O12" s="1">
        <v>9.5</v>
      </c>
      <c r="P12" s="1">
        <v>8.1999999999999993</v>
      </c>
      <c r="Q12" s="1">
        <v>7.6</v>
      </c>
      <c r="R12" s="1">
        <v>7.9</v>
      </c>
    </row>
    <row r="13" spans="1:18" x14ac:dyDescent="0.25">
      <c r="A13" s="1">
        <v>7</v>
      </c>
      <c r="B13" s="1" t="s">
        <v>13</v>
      </c>
      <c r="C13" s="1">
        <v>1.61</v>
      </c>
      <c r="D13" s="1">
        <v>1.57</v>
      </c>
      <c r="E13" s="1">
        <v>1.43</v>
      </c>
      <c r="F13" s="1">
        <v>1.48</v>
      </c>
      <c r="G13" s="1">
        <v>1.44</v>
      </c>
      <c r="H13" s="1"/>
      <c r="I13" s="1"/>
      <c r="J13" s="1"/>
      <c r="K13" s="1"/>
      <c r="L13" s="1">
        <v>1.6</v>
      </c>
      <c r="M13" s="1">
        <v>1.61</v>
      </c>
      <c r="N13" s="1">
        <v>1.61</v>
      </c>
      <c r="O13" s="1">
        <v>1.74</v>
      </c>
      <c r="P13" s="1">
        <v>1.63</v>
      </c>
      <c r="Q13" s="1">
        <v>1.4</v>
      </c>
      <c r="R13" s="1">
        <v>1.58</v>
      </c>
    </row>
    <row r="14" spans="1:18" x14ac:dyDescent="0.25">
      <c r="A14" s="1">
        <v>8</v>
      </c>
      <c r="B14" s="1" t="s">
        <v>14</v>
      </c>
      <c r="C14" s="1">
        <v>3.56</v>
      </c>
      <c r="D14" s="1">
        <v>3.4</v>
      </c>
      <c r="E14" s="1">
        <v>3.2</v>
      </c>
      <c r="F14" s="1">
        <v>3.12</v>
      </c>
      <c r="G14" s="1">
        <v>2.4900000000000002</v>
      </c>
      <c r="H14" s="1"/>
      <c r="I14" s="1"/>
      <c r="J14" s="1"/>
      <c r="K14" s="1"/>
      <c r="L14" s="1">
        <v>3.12</v>
      </c>
      <c r="M14" s="1">
        <v>3.3</v>
      </c>
      <c r="N14" s="1">
        <v>3.09</v>
      </c>
      <c r="O14" s="1">
        <v>3.53</v>
      </c>
      <c r="P14" s="1">
        <v>3.02</v>
      </c>
      <c r="Q14" s="1">
        <v>2.4700000000000002</v>
      </c>
      <c r="R14" s="1">
        <v>3.18</v>
      </c>
    </row>
    <row r="15" spans="1:18" x14ac:dyDescent="0.25">
      <c r="A15" s="1">
        <v>9</v>
      </c>
      <c r="B15" s="1" t="s">
        <v>15</v>
      </c>
      <c r="C15" s="1">
        <v>0.93</v>
      </c>
      <c r="D15" s="1">
        <v>0.87</v>
      </c>
      <c r="E15" s="1">
        <v>0.77</v>
      </c>
      <c r="F15" s="1">
        <v>0.8</v>
      </c>
      <c r="G15" s="1">
        <v>0.67</v>
      </c>
      <c r="H15" s="1"/>
      <c r="I15" s="1"/>
      <c r="J15" s="1"/>
      <c r="K15" s="1"/>
      <c r="L15" s="1">
        <v>0.77</v>
      </c>
      <c r="M15" s="1">
        <v>0.9</v>
      </c>
      <c r="N15" s="1">
        <v>0.9</v>
      </c>
      <c r="O15" s="1">
        <v>0.91</v>
      </c>
      <c r="P15" s="1">
        <v>0.75</v>
      </c>
      <c r="Q15" s="1">
        <v>0.57999999999999996</v>
      </c>
      <c r="R15" s="1">
        <v>0.84</v>
      </c>
    </row>
    <row r="16" spans="1:18" x14ac:dyDescent="0.25">
      <c r="A16" s="1">
        <v>10</v>
      </c>
      <c r="B16" s="1" t="s">
        <v>16</v>
      </c>
      <c r="C16" s="1">
        <v>1.18</v>
      </c>
      <c r="D16" s="1">
        <v>1.1000000000000001</v>
      </c>
      <c r="E16" s="1">
        <v>0.95</v>
      </c>
      <c r="F16" s="1">
        <v>1</v>
      </c>
      <c r="G16" s="1">
        <v>0.76</v>
      </c>
      <c r="H16" s="1"/>
      <c r="I16" s="1"/>
      <c r="J16" s="1"/>
      <c r="K16" s="1"/>
      <c r="L16" s="1">
        <v>0.87</v>
      </c>
      <c r="M16" s="1">
        <v>1.1000000000000001</v>
      </c>
      <c r="N16" s="1">
        <v>0.92</v>
      </c>
      <c r="O16" s="1">
        <v>1.0900000000000001</v>
      </c>
      <c r="P16" s="1">
        <v>0.84</v>
      </c>
      <c r="Q16" s="1">
        <v>0.64</v>
      </c>
      <c r="R16" s="1">
        <v>0.99</v>
      </c>
    </row>
    <row r="17" spans="1:20" x14ac:dyDescent="0.25">
      <c r="A17" s="1">
        <v>11</v>
      </c>
      <c r="B17" s="4" t="s">
        <v>209</v>
      </c>
      <c r="C17" s="1" t="s">
        <v>18</v>
      </c>
      <c r="D17" s="1" t="s">
        <v>18</v>
      </c>
      <c r="E17" s="1" t="s">
        <v>18</v>
      </c>
      <c r="F17" s="1" t="s">
        <v>18</v>
      </c>
      <c r="G17" s="1">
        <v>0.52</v>
      </c>
      <c r="H17" s="1"/>
      <c r="I17" s="1"/>
      <c r="J17" s="1"/>
      <c r="K17" s="1"/>
      <c r="L17" s="1">
        <v>0.94</v>
      </c>
      <c r="M17" s="1" t="s">
        <v>18</v>
      </c>
      <c r="N17" s="1" t="s">
        <v>18</v>
      </c>
      <c r="O17" s="1" t="s">
        <v>18</v>
      </c>
      <c r="P17" s="1">
        <v>0.83</v>
      </c>
      <c r="Q17" s="1">
        <v>0.61</v>
      </c>
      <c r="R17" s="1" t="s">
        <v>18</v>
      </c>
    </row>
    <row r="18" spans="1:20" x14ac:dyDescent="0.25">
      <c r="B18" t="s">
        <v>173</v>
      </c>
      <c r="C18" s="29"/>
    </row>
    <row r="20" spans="1:20" x14ac:dyDescent="0.25">
      <c r="A20" s="2" t="s">
        <v>32</v>
      </c>
    </row>
    <row r="21" spans="1:20" x14ac:dyDescent="0.25">
      <c r="A21" s="119" t="s">
        <v>29</v>
      </c>
      <c r="B21" s="137" t="s">
        <v>30</v>
      </c>
      <c r="C21" s="111" t="s">
        <v>27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6"/>
      <c r="T21" s="6"/>
    </row>
    <row r="22" spans="1:20" ht="75" x14ac:dyDescent="0.25">
      <c r="A22" s="119"/>
      <c r="B22" s="137"/>
      <c r="C22" s="4" t="s">
        <v>0</v>
      </c>
      <c r="D22" s="4" t="s">
        <v>1</v>
      </c>
      <c r="E22" s="4" t="s">
        <v>2</v>
      </c>
      <c r="F22" s="4" t="s">
        <v>3</v>
      </c>
      <c r="G22" s="4" t="s">
        <v>4</v>
      </c>
      <c r="H22" s="4"/>
      <c r="I22" s="4"/>
      <c r="J22" s="4"/>
      <c r="K22" s="4"/>
      <c r="L22" s="4" t="s">
        <v>20</v>
      </c>
      <c r="M22" s="4" t="s">
        <v>21</v>
      </c>
      <c r="N22" s="4" t="s">
        <v>22</v>
      </c>
      <c r="O22" s="4" t="s">
        <v>23</v>
      </c>
      <c r="P22" s="4" t="s">
        <v>24</v>
      </c>
      <c r="Q22" s="4" t="s">
        <v>25</v>
      </c>
      <c r="R22" s="7" t="s">
        <v>28</v>
      </c>
    </row>
    <row r="23" spans="1:20" x14ac:dyDescent="0.25">
      <c r="A23" s="1">
        <v>1</v>
      </c>
      <c r="B23" s="8" t="s">
        <v>5</v>
      </c>
      <c r="C23" s="1">
        <v>5.0000000000000001E-3</v>
      </c>
      <c r="D23" s="1">
        <v>8.9999999999999993E-3</v>
      </c>
      <c r="E23" s="1">
        <v>5.4999999999999997E-3</v>
      </c>
      <c r="F23" s="1">
        <f>100-SUM(F24:F33)</f>
        <v>0.92000000000001592</v>
      </c>
      <c r="G23" s="1">
        <f>100-SUM(G24:G33)</f>
        <v>0.70000000000000284</v>
      </c>
      <c r="H23" s="1"/>
      <c r="I23" s="1"/>
      <c r="J23" s="1"/>
      <c r="K23" s="1"/>
      <c r="L23" s="1">
        <v>2.5999999999999999E-2</v>
      </c>
      <c r="M23" s="1">
        <v>0.01</v>
      </c>
      <c r="N23" s="1">
        <v>8.5000000000000006E-3</v>
      </c>
      <c r="O23" s="1">
        <v>5.4999999999999997E-3</v>
      </c>
      <c r="P23" s="1">
        <v>6.4999999999999997E-3</v>
      </c>
      <c r="Q23" s="1">
        <v>6.0000000000000001E-3</v>
      </c>
      <c r="R23" s="8">
        <f>ROUND(AVERAGE(C23:Q23),4)</f>
        <v>0.1547</v>
      </c>
    </row>
    <row r="24" spans="1:20" x14ac:dyDescent="0.25">
      <c r="A24" s="1">
        <v>2</v>
      </c>
      <c r="B24" s="8" t="s">
        <v>8</v>
      </c>
      <c r="C24" s="1">
        <v>2</v>
      </c>
      <c r="D24" s="1">
        <v>2</v>
      </c>
      <c r="E24" s="1">
        <v>6.4</v>
      </c>
      <c r="F24" s="1">
        <v>4.5</v>
      </c>
      <c r="G24" s="1">
        <v>4.3</v>
      </c>
      <c r="H24" s="1"/>
      <c r="I24" s="1"/>
      <c r="J24" s="1"/>
      <c r="K24" s="1"/>
      <c r="L24" s="5">
        <v>2.08</v>
      </c>
      <c r="M24" s="1">
        <v>2.0299999999999998</v>
      </c>
      <c r="N24" s="1">
        <v>1.97</v>
      </c>
      <c r="O24" s="1">
        <v>2</v>
      </c>
      <c r="P24" s="1">
        <v>2.12</v>
      </c>
      <c r="Q24" s="1">
        <v>2.27</v>
      </c>
      <c r="R24" s="8">
        <f t="shared" ref="R24:R33" si="0">ROUND(AVERAGE(C24:Q24),4)</f>
        <v>2.8791000000000002</v>
      </c>
    </row>
    <row r="25" spans="1:20" x14ac:dyDescent="0.25">
      <c r="A25" s="1">
        <v>3</v>
      </c>
      <c r="B25" s="8" t="s">
        <v>9</v>
      </c>
      <c r="C25" s="1">
        <v>2.1</v>
      </c>
      <c r="D25" s="1">
        <v>2.2400000000000002</v>
      </c>
      <c r="E25" s="1">
        <v>1.94</v>
      </c>
      <c r="F25" s="1">
        <v>2</v>
      </c>
      <c r="G25" s="1">
        <v>2.4</v>
      </c>
      <c r="H25" s="1"/>
      <c r="I25" s="1"/>
      <c r="J25" s="1"/>
      <c r="K25" s="1"/>
      <c r="L25" s="1">
        <v>2.09</v>
      </c>
      <c r="M25" s="1">
        <v>2.25</v>
      </c>
      <c r="N25" s="1">
        <v>2.33</v>
      </c>
      <c r="O25" s="1">
        <v>2.19</v>
      </c>
      <c r="P25" s="1">
        <v>2.33</v>
      </c>
      <c r="Q25" s="1">
        <v>2.2400000000000002</v>
      </c>
      <c r="R25" s="8">
        <f t="shared" si="0"/>
        <v>2.1918000000000002</v>
      </c>
    </row>
    <row r="26" spans="1:20" x14ac:dyDescent="0.25">
      <c r="A26" s="1">
        <v>4</v>
      </c>
      <c r="B26" s="8" t="s">
        <v>10</v>
      </c>
      <c r="C26" s="1">
        <v>72.400000000000006</v>
      </c>
      <c r="D26" s="1">
        <v>74.7</v>
      </c>
      <c r="E26" s="1">
        <v>69.599999999999994</v>
      </c>
      <c r="F26" s="1">
        <v>72.5</v>
      </c>
      <c r="G26" s="1">
        <v>70.099999999999994</v>
      </c>
      <c r="H26" s="1"/>
      <c r="I26" s="1"/>
      <c r="J26" s="1"/>
      <c r="K26" s="1"/>
      <c r="L26" s="1">
        <v>72.599999999999994</v>
      </c>
      <c r="M26" s="1">
        <v>73.599999999999994</v>
      </c>
      <c r="N26" s="1">
        <v>71.5</v>
      </c>
      <c r="O26" s="1">
        <v>75.099999999999994</v>
      </c>
      <c r="P26" s="1">
        <v>74.3</v>
      </c>
      <c r="Q26" s="1">
        <v>74.2</v>
      </c>
      <c r="R26" s="8">
        <f t="shared" si="0"/>
        <v>72.781800000000004</v>
      </c>
    </row>
    <row r="27" spans="1:20" x14ac:dyDescent="0.25">
      <c r="A27" s="1">
        <v>5</v>
      </c>
      <c r="B27" s="8" t="s">
        <v>11</v>
      </c>
      <c r="C27" s="1">
        <v>6.3</v>
      </c>
      <c r="D27" s="1">
        <v>6</v>
      </c>
      <c r="E27" s="1">
        <v>5.83</v>
      </c>
      <c r="F27" s="1">
        <v>6.1</v>
      </c>
      <c r="G27" s="1">
        <v>6.5</v>
      </c>
      <c r="H27" s="1"/>
      <c r="I27" s="1"/>
      <c r="J27" s="1"/>
      <c r="K27" s="1"/>
      <c r="L27" s="1">
        <v>6</v>
      </c>
      <c r="M27" s="1">
        <v>6.2</v>
      </c>
      <c r="N27" s="1">
        <v>6.2</v>
      </c>
      <c r="O27" s="1">
        <v>5.4</v>
      </c>
      <c r="P27" s="1">
        <v>8</v>
      </c>
      <c r="Q27" s="1">
        <v>5.7</v>
      </c>
      <c r="R27" s="8">
        <f t="shared" si="0"/>
        <v>6.2027000000000001</v>
      </c>
    </row>
    <row r="28" spans="1:20" x14ac:dyDescent="0.25">
      <c r="A28" s="1">
        <v>6</v>
      </c>
      <c r="B28" s="8" t="s">
        <v>12</v>
      </c>
      <c r="C28" s="1">
        <v>8.6</v>
      </c>
      <c r="D28" s="1">
        <v>7.7</v>
      </c>
      <c r="E28" s="1">
        <v>7.9</v>
      </c>
      <c r="F28" s="1">
        <v>8.1</v>
      </c>
      <c r="G28" s="1">
        <v>8.6999999999999993</v>
      </c>
      <c r="H28" s="1"/>
      <c r="I28" s="1"/>
      <c r="J28" s="1"/>
      <c r="K28" s="1"/>
      <c r="L28" s="1">
        <v>8.5</v>
      </c>
      <c r="M28" s="1">
        <v>8.3000000000000007</v>
      </c>
      <c r="N28" s="1">
        <v>9.5</v>
      </c>
      <c r="O28" s="1">
        <v>8.1999999999999993</v>
      </c>
      <c r="P28" s="1">
        <v>7.6</v>
      </c>
      <c r="Q28" s="1">
        <v>7.9</v>
      </c>
      <c r="R28" s="8">
        <f t="shared" si="0"/>
        <v>8.2727000000000004</v>
      </c>
    </row>
    <row r="29" spans="1:20" x14ac:dyDescent="0.25">
      <c r="A29" s="1">
        <v>7</v>
      </c>
      <c r="B29" s="8" t="s">
        <v>13</v>
      </c>
      <c r="C29" s="1">
        <v>1.61</v>
      </c>
      <c r="D29" s="1">
        <v>1.43</v>
      </c>
      <c r="E29" s="1">
        <v>1.48</v>
      </c>
      <c r="F29" s="1">
        <v>1.44</v>
      </c>
      <c r="G29" s="1">
        <v>1.6</v>
      </c>
      <c r="H29" s="1"/>
      <c r="I29" s="1"/>
      <c r="J29" s="1"/>
      <c r="K29" s="1"/>
      <c r="L29" s="1">
        <v>1.61</v>
      </c>
      <c r="M29" s="1">
        <v>1.61</v>
      </c>
      <c r="N29" s="1">
        <v>1.74</v>
      </c>
      <c r="O29" s="1">
        <v>1.63</v>
      </c>
      <c r="P29" s="1">
        <v>1.4</v>
      </c>
      <c r="Q29" s="1">
        <v>1.58</v>
      </c>
      <c r="R29" s="8">
        <f t="shared" si="0"/>
        <v>1.5572999999999999</v>
      </c>
    </row>
    <row r="30" spans="1:20" x14ac:dyDescent="0.25">
      <c r="A30" s="1">
        <v>8</v>
      </c>
      <c r="B30" s="8" t="s">
        <v>14</v>
      </c>
      <c r="C30" s="1">
        <v>3.56</v>
      </c>
      <c r="D30" s="1">
        <v>3.2</v>
      </c>
      <c r="E30" s="1">
        <v>3.12</v>
      </c>
      <c r="F30" s="1">
        <v>2.4900000000000002</v>
      </c>
      <c r="G30" s="1">
        <v>3.12</v>
      </c>
      <c r="H30" s="1"/>
      <c r="I30" s="1"/>
      <c r="J30" s="1"/>
      <c r="K30" s="1"/>
      <c r="L30" s="1">
        <v>3.3</v>
      </c>
      <c r="M30" s="1">
        <v>3.09</v>
      </c>
      <c r="N30" s="1">
        <v>3.53</v>
      </c>
      <c r="O30" s="1">
        <v>3.02</v>
      </c>
      <c r="P30" s="1">
        <v>2.4700000000000002</v>
      </c>
      <c r="Q30" s="1">
        <v>3.18</v>
      </c>
      <c r="R30" s="8">
        <f t="shared" si="0"/>
        <v>3.0981999999999998</v>
      </c>
    </row>
    <row r="31" spans="1:20" x14ac:dyDescent="0.25">
      <c r="A31" s="1">
        <v>9</v>
      </c>
      <c r="B31" s="8" t="s">
        <v>15</v>
      </c>
      <c r="C31" s="1">
        <v>0.93</v>
      </c>
      <c r="D31" s="1">
        <v>0.77</v>
      </c>
      <c r="E31" s="1">
        <v>0.8</v>
      </c>
      <c r="F31" s="1">
        <v>0.67</v>
      </c>
      <c r="G31" s="1">
        <v>0.77</v>
      </c>
      <c r="H31" s="1"/>
      <c r="I31" s="1"/>
      <c r="J31" s="1"/>
      <c r="K31" s="1"/>
      <c r="L31" s="1">
        <v>0.9</v>
      </c>
      <c r="M31" s="1">
        <v>0.9</v>
      </c>
      <c r="N31" s="1">
        <v>0.91</v>
      </c>
      <c r="O31" s="1">
        <v>0.75</v>
      </c>
      <c r="P31" s="1">
        <v>0.57999999999999996</v>
      </c>
      <c r="Q31" s="1">
        <v>0.84</v>
      </c>
      <c r="R31" s="8">
        <f t="shared" si="0"/>
        <v>0.80179999999999996</v>
      </c>
    </row>
    <row r="32" spans="1:20" x14ac:dyDescent="0.25">
      <c r="A32" s="1">
        <v>10</v>
      </c>
      <c r="B32" s="8" t="s">
        <v>16</v>
      </c>
      <c r="C32" s="1">
        <v>1.18</v>
      </c>
      <c r="D32" s="1">
        <v>0.95</v>
      </c>
      <c r="E32" s="1">
        <v>1</v>
      </c>
      <c r="F32" s="1">
        <v>0.76</v>
      </c>
      <c r="G32" s="1">
        <v>0.87</v>
      </c>
      <c r="H32" s="1"/>
      <c r="I32" s="1"/>
      <c r="J32" s="1"/>
      <c r="K32" s="1"/>
      <c r="L32" s="1">
        <v>1.1000000000000001</v>
      </c>
      <c r="M32" s="1">
        <v>0.92</v>
      </c>
      <c r="N32" s="1">
        <v>1.0900000000000001</v>
      </c>
      <c r="O32" s="1">
        <v>0.84</v>
      </c>
      <c r="P32" s="1">
        <v>0.64</v>
      </c>
      <c r="Q32" s="1">
        <v>0.99</v>
      </c>
      <c r="R32" s="8">
        <f t="shared" si="0"/>
        <v>0.94</v>
      </c>
    </row>
    <row r="33" spans="1:18" ht="30" x14ac:dyDescent="0.25">
      <c r="A33" s="1">
        <v>11</v>
      </c>
      <c r="B33" s="7" t="s">
        <v>209</v>
      </c>
      <c r="C33" s="1">
        <f>100-SUM(C23:C32)</f>
        <v>1.3149999999999835</v>
      </c>
      <c r="D33" s="1">
        <f>100-SUM(D23:D32)</f>
        <v>1.0009999999999906</v>
      </c>
      <c r="E33" s="1">
        <f>100-SUM(E23:E32)</f>
        <v>1.9244999999999948</v>
      </c>
      <c r="F33" s="1">
        <v>0.52</v>
      </c>
      <c r="G33" s="1">
        <v>0.94</v>
      </c>
      <c r="H33" s="1"/>
      <c r="I33" s="1"/>
      <c r="J33" s="1"/>
      <c r="K33" s="1"/>
      <c r="L33" s="1">
        <f>100-SUM(L23:L32)</f>
        <v>1.7940000000000111</v>
      </c>
      <c r="M33" s="1">
        <f>100-SUM(M23:M32)</f>
        <v>1.0900000000000034</v>
      </c>
      <c r="N33" s="1">
        <f>100-SUM(N23:N32)</f>
        <v>1.221500000000006</v>
      </c>
      <c r="O33" s="1">
        <v>0.83</v>
      </c>
      <c r="P33" s="1">
        <v>0.61</v>
      </c>
      <c r="Q33" s="1">
        <f>100-SUM(Q23:Q32)</f>
        <v>1.0939999999999799</v>
      </c>
      <c r="R33" s="8">
        <f t="shared" si="0"/>
        <v>1.1217999999999999</v>
      </c>
    </row>
    <row r="35" spans="1:18" x14ac:dyDescent="0.25">
      <c r="A35" s="2" t="s">
        <v>110</v>
      </c>
    </row>
    <row r="36" spans="1:18" ht="45" x14ac:dyDescent="0.25">
      <c r="A36" s="9" t="s">
        <v>29</v>
      </c>
      <c r="B36" s="9" t="s">
        <v>30</v>
      </c>
      <c r="C36" s="9" t="s">
        <v>47</v>
      </c>
    </row>
    <row r="37" spans="1:18" x14ac:dyDescent="0.25">
      <c r="A37" s="10">
        <v>1</v>
      </c>
      <c r="B37" s="10" t="s">
        <v>5</v>
      </c>
      <c r="C37" s="31">
        <f>R23</f>
        <v>0.1547</v>
      </c>
    </row>
    <row r="38" spans="1:18" x14ac:dyDescent="0.25">
      <c r="A38" s="10">
        <v>2</v>
      </c>
      <c r="B38" s="10" t="s">
        <v>8</v>
      </c>
      <c r="C38" s="31">
        <f t="shared" ref="C38:C47" si="1">R24</f>
        <v>2.8791000000000002</v>
      </c>
    </row>
    <row r="39" spans="1:18" x14ac:dyDescent="0.25">
      <c r="A39" s="10">
        <v>3</v>
      </c>
      <c r="B39" s="10" t="s">
        <v>9</v>
      </c>
      <c r="C39" s="31">
        <f t="shared" si="1"/>
        <v>2.1918000000000002</v>
      </c>
    </row>
    <row r="40" spans="1:18" x14ac:dyDescent="0.25">
      <c r="A40" s="10">
        <v>4</v>
      </c>
      <c r="B40" s="10" t="s">
        <v>10</v>
      </c>
      <c r="C40" s="31">
        <f t="shared" si="1"/>
        <v>72.781800000000004</v>
      </c>
    </row>
    <row r="41" spans="1:18" x14ac:dyDescent="0.25">
      <c r="A41" s="10">
        <v>5</v>
      </c>
      <c r="B41" s="10" t="s">
        <v>11</v>
      </c>
      <c r="C41" s="31">
        <f t="shared" si="1"/>
        <v>6.2027000000000001</v>
      </c>
    </row>
    <row r="42" spans="1:18" x14ac:dyDescent="0.25">
      <c r="A42" s="10">
        <v>6</v>
      </c>
      <c r="B42" s="10" t="s">
        <v>12</v>
      </c>
      <c r="C42" s="31">
        <f t="shared" si="1"/>
        <v>8.2727000000000004</v>
      </c>
    </row>
    <row r="43" spans="1:18" x14ac:dyDescent="0.25">
      <c r="A43" s="10">
        <v>7</v>
      </c>
      <c r="B43" s="10" t="s">
        <v>13</v>
      </c>
      <c r="C43" s="31">
        <f t="shared" si="1"/>
        <v>1.5572999999999999</v>
      </c>
    </row>
    <row r="44" spans="1:18" x14ac:dyDescent="0.25">
      <c r="A44" s="10">
        <v>8</v>
      </c>
      <c r="B44" s="10" t="s">
        <v>14</v>
      </c>
      <c r="C44" s="31">
        <f t="shared" si="1"/>
        <v>3.0981999999999998</v>
      </c>
    </row>
    <row r="45" spans="1:18" x14ac:dyDescent="0.25">
      <c r="A45" s="10">
        <v>9</v>
      </c>
      <c r="B45" s="10" t="s">
        <v>15</v>
      </c>
      <c r="C45" s="31">
        <f t="shared" si="1"/>
        <v>0.80179999999999996</v>
      </c>
    </row>
    <row r="46" spans="1:18" x14ac:dyDescent="0.25">
      <c r="A46" s="10">
        <v>10</v>
      </c>
      <c r="B46" s="10" t="s">
        <v>16</v>
      </c>
      <c r="C46" s="31">
        <f t="shared" si="1"/>
        <v>0.94</v>
      </c>
    </row>
    <row r="47" spans="1:18" x14ac:dyDescent="0.25">
      <c r="A47" s="10">
        <v>11</v>
      </c>
      <c r="B47" s="4" t="s">
        <v>209</v>
      </c>
      <c r="C47" s="31">
        <f t="shared" si="1"/>
        <v>1.1217999999999999</v>
      </c>
    </row>
    <row r="48" spans="1:18" x14ac:dyDescent="0.25">
      <c r="C48" s="11"/>
      <c r="D48" s="11"/>
      <c r="E48" s="36"/>
    </row>
    <row r="49" spans="1:13" x14ac:dyDescent="0.25">
      <c r="B49" s="2" t="s">
        <v>109</v>
      </c>
      <c r="C49" s="11"/>
      <c r="D49" s="11"/>
      <c r="E49" s="11"/>
    </row>
    <row r="50" spans="1:13" ht="90" x14ac:dyDescent="0.25">
      <c r="B50" s="1"/>
      <c r="C50" s="4" t="s">
        <v>0</v>
      </c>
      <c r="D50" s="4" t="s">
        <v>21</v>
      </c>
      <c r="E50" s="4" t="s">
        <v>22</v>
      </c>
      <c r="F50" s="4" t="s">
        <v>23</v>
      </c>
      <c r="G50" s="4" t="s">
        <v>24</v>
      </c>
      <c r="H50" s="4"/>
      <c r="I50" s="4"/>
      <c r="J50" s="4"/>
      <c r="K50" s="4"/>
      <c r="L50" s="4" t="s">
        <v>25</v>
      </c>
      <c r="M50" s="28" t="s">
        <v>48</v>
      </c>
    </row>
    <row r="51" spans="1:13" x14ac:dyDescent="0.25">
      <c r="B51" s="8" t="s">
        <v>5</v>
      </c>
      <c r="C51" s="1"/>
      <c r="D51" s="1">
        <v>3.0000000000000001E-3</v>
      </c>
      <c r="E51" s="1">
        <v>2.3E-3</v>
      </c>
      <c r="F51" s="1">
        <v>1.8E-3</v>
      </c>
      <c r="G51" s="1">
        <v>2E-3</v>
      </c>
      <c r="H51" s="1"/>
      <c r="I51" s="1"/>
      <c r="J51" s="1"/>
      <c r="K51" s="1"/>
      <c r="L51" s="1"/>
      <c r="M51" s="1">
        <f>ROUND(AVERAGE(C51:L51),4)</f>
        <v>2.3E-3</v>
      </c>
    </row>
    <row r="52" spans="1:13" x14ac:dyDescent="0.25">
      <c r="B52" s="8" t="s">
        <v>8</v>
      </c>
      <c r="C52" s="30">
        <v>0.17</v>
      </c>
      <c r="D52" s="1">
        <v>0.18</v>
      </c>
      <c r="E52" s="1">
        <v>0.17</v>
      </c>
      <c r="F52" s="1">
        <v>0.17</v>
      </c>
      <c r="G52" s="1">
        <v>0.18</v>
      </c>
      <c r="H52" s="1"/>
      <c r="I52" s="1"/>
      <c r="J52" s="1"/>
      <c r="K52" s="1"/>
      <c r="L52" s="1">
        <v>0.2</v>
      </c>
      <c r="M52" s="1">
        <f t="shared" ref="M52:M60" si="2">ROUND(AVERAGE(C52:L52),4)</f>
        <v>0.17829999999999999</v>
      </c>
    </row>
    <row r="53" spans="1:13" x14ac:dyDescent="0.25">
      <c r="B53" s="8" t="s">
        <v>9</v>
      </c>
      <c r="C53" s="30">
        <v>0.18</v>
      </c>
      <c r="D53" s="1">
        <v>0.19</v>
      </c>
      <c r="E53" s="1">
        <v>0.19</v>
      </c>
      <c r="F53" s="1">
        <v>0.18</v>
      </c>
      <c r="G53" s="1">
        <v>0.19</v>
      </c>
      <c r="H53" s="1"/>
      <c r="I53" s="1"/>
      <c r="J53" s="1"/>
      <c r="K53" s="1"/>
      <c r="L53" s="1">
        <v>0.18</v>
      </c>
      <c r="M53" s="1">
        <f t="shared" si="2"/>
        <v>0.185</v>
      </c>
    </row>
    <row r="54" spans="1:13" x14ac:dyDescent="0.25">
      <c r="B54" s="8" t="s">
        <v>10</v>
      </c>
      <c r="C54" s="30">
        <v>1.3</v>
      </c>
      <c r="D54" s="1">
        <v>1.3</v>
      </c>
      <c r="E54" s="1">
        <v>1.3</v>
      </c>
      <c r="F54" s="1">
        <v>0.6</v>
      </c>
      <c r="G54" s="1">
        <v>1.3</v>
      </c>
      <c r="H54" s="1"/>
      <c r="I54" s="1"/>
      <c r="J54" s="1"/>
      <c r="K54" s="1"/>
      <c r="L54" s="1">
        <v>1.3</v>
      </c>
      <c r="M54" s="1">
        <f t="shared" si="2"/>
        <v>1.1833</v>
      </c>
    </row>
    <row r="55" spans="1:13" x14ac:dyDescent="0.25">
      <c r="B55" s="8" t="s">
        <v>11</v>
      </c>
      <c r="C55" s="30">
        <v>0.3</v>
      </c>
      <c r="D55" s="1">
        <v>0.3</v>
      </c>
      <c r="E55" s="1">
        <v>0.3</v>
      </c>
      <c r="F55" s="1">
        <v>0.3</v>
      </c>
      <c r="G55" s="1">
        <v>0.4</v>
      </c>
      <c r="H55" s="1"/>
      <c r="I55" s="1"/>
      <c r="J55" s="1"/>
      <c r="K55" s="1"/>
      <c r="L55" s="1">
        <v>0.3</v>
      </c>
      <c r="M55" s="1">
        <f t="shared" si="2"/>
        <v>0.31669999999999998</v>
      </c>
    </row>
    <row r="56" spans="1:13" x14ac:dyDescent="0.25">
      <c r="B56" s="8" t="s">
        <v>12</v>
      </c>
      <c r="C56" s="30">
        <v>0.4</v>
      </c>
      <c r="D56" s="1">
        <v>0.4</v>
      </c>
      <c r="E56" s="1">
        <v>0.4</v>
      </c>
      <c r="F56" s="1">
        <v>0.4</v>
      </c>
      <c r="G56" s="1">
        <v>0.4</v>
      </c>
      <c r="H56" s="1"/>
      <c r="I56" s="1"/>
      <c r="J56" s="1"/>
      <c r="K56" s="1"/>
      <c r="L56" s="1">
        <v>0.4</v>
      </c>
      <c r="M56" s="1">
        <f t="shared" si="2"/>
        <v>0.4</v>
      </c>
    </row>
    <row r="57" spans="1:13" x14ac:dyDescent="0.25">
      <c r="B57" s="8" t="s">
        <v>13</v>
      </c>
      <c r="C57" s="30">
        <v>0.12</v>
      </c>
      <c r="D57" s="1">
        <v>0.12</v>
      </c>
      <c r="E57" s="1">
        <v>0.13</v>
      </c>
      <c r="F57" s="1">
        <v>0.12</v>
      </c>
      <c r="G57" s="1">
        <v>0.11</v>
      </c>
      <c r="H57" s="1"/>
      <c r="I57" s="1"/>
      <c r="J57" s="1"/>
      <c r="K57" s="1"/>
      <c r="L57" s="1">
        <v>0.12</v>
      </c>
      <c r="M57" s="1">
        <f t="shared" si="2"/>
        <v>0.12</v>
      </c>
    </row>
    <row r="58" spans="1:13" x14ac:dyDescent="0.25">
      <c r="B58" s="8" t="s">
        <v>14</v>
      </c>
      <c r="C58" s="30">
        <v>0.2</v>
      </c>
      <c r="D58" s="1">
        <v>0.18</v>
      </c>
      <c r="E58" s="1">
        <v>0.2</v>
      </c>
      <c r="F58" s="1">
        <v>0.18</v>
      </c>
      <c r="G58" s="1">
        <v>0.16</v>
      </c>
      <c r="H58" s="1"/>
      <c r="I58" s="1"/>
      <c r="J58" s="1"/>
      <c r="K58" s="1"/>
      <c r="L58" s="1">
        <v>0.18</v>
      </c>
      <c r="M58" s="1">
        <f t="shared" si="2"/>
        <v>0.18329999999999999</v>
      </c>
    </row>
    <row r="59" spans="1:13" x14ac:dyDescent="0.25">
      <c r="B59" s="8" t="s">
        <v>15</v>
      </c>
      <c r="C59" s="30">
        <v>0.09</v>
      </c>
      <c r="D59" s="1">
        <v>0.09</v>
      </c>
      <c r="E59" s="1">
        <v>0.09</v>
      </c>
      <c r="F59" s="1">
        <v>0.08</v>
      </c>
      <c r="G59" s="1">
        <v>0.06</v>
      </c>
      <c r="H59" s="1"/>
      <c r="I59" s="1"/>
      <c r="J59" s="1"/>
      <c r="K59" s="1"/>
      <c r="L59" s="1">
        <v>0.08</v>
      </c>
      <c r="M59" s="1">
        <f t="shared" si="2"/>
        <v>8.1699999999999995E-2</v>
      </c>
    </row>
    <row r="60" spans="1:13" x14ac:dyDescent="0.25">
      <c r="B60" s="8" t="s">
        <v>16</v>
      </c>
      <c r="C60" s="30">
        <v>0.11</v>
      </c>
      <c r="D60" s="1">
        <v>0.09</v>
      </c>
      <c r="E60" s="1">
        <v>0.1</v>
      </c>
      <c r="F60" s="1">
        <v>0.08</v>
      </c>
      <c r="G60" s="1">
        <v>7.0000000000000007E-2</v>
      </c>
      <c r="H60" s="1"/>
      <c r="I60" s="1"/>
      <c r="J60" s="1"/>
      <c r="K60" s="1"/>
      <c r="L60" s="1">
        <v>0.1</v>
      </c>
      <c r="M60" s="1">
        <f t="shared" si="2"/>
        <v>9.1700000000000004E-2</v>
      </c>
    </row>
    <row r="61" spans="1:13" x14ac:dyDescent="0.25">
      <c r="B61" s="8" t="s">
        <v>17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>
        <f>SUM(M51:M60)</f>
        <v>2.7423000000000002</v>
      </c>
    </row>
    <row r="64" spans="1:13" x14ac:dyDescent="0.25">
      <c r="A64" s="32" t="s">
        <v>100</v>
      </c>
    </row>
    <row r="65" spans="1:9" ht="60" x14ac:dyDescent="0.25">
      <c r="A65" s="35" t="s">
        <v>29</v>
      </c>
      <c r="B65" s="31" t="s">
        <v>30</v>
      </c>
      <c r="C65" s="31" t="s">
        <v>47</v>
      </c>
      <c r="D65" s="34" t="s">
        <v>101</v>
      </c>
      <c r="E65" s="31" t="s">
        <v>102</v>
      </c>
    </row>
    <row r="66" spans="1:9" x14ac:dyDescent="0.25">
      <c r="A66" s="35">
        <v>1</v>
      </c>
      <c r="B66" s="31" t="s">
        <v>5</v>
      </c>
      <c r="C66" s="3">
        <f t="shared" ref="C66:C76" si="3">C37</f>
        <v>0.1547</v>
      </c>
      <c r="D66" s="3">
        <v>32</v>
      </c>
      <c r="E66" s="3">
        <f t="shared" ref="E66:E76" si="4">ROUND(C66*D66/(C$66*D$66+C$67*D$67+C$68*D$68+C$69*D$69+C$70*D$70+C$71*D$71+C$72*D$72+C$73*D$73+C$74*D$74+C$75*D$75+C$76*D$76)*100,4)</f>
        <v>0.20680000000000001</v>
      </c>
    </row>
    <row r="67" spans="1:9" x14ac:dyDescent="0.25">
      <c r="A67" s="35">
        <v>2</v>
      </c>
      <c r="B67" s="31" t="s">
        <v>8</v>
      </c>
      <c r="C67" s="3">
        <f t="shared" si="3"/>
        <v>2.8791000000000002</v>
      </c>
      <c r="D67" s="3">
        <v>28</v>
      </c>
      <c r="E67" s="3">
        <f t="shared" si="4"/>
        <v>3.3677999999999999</v>
      </c>
    </row>
    <row r="68" spans="1:9" x14ac:dyDescent="0.25">
      <c r="A68" s="35">
        <v>3</v>
      </c>
      <c r="B68" s="31" t="s">
        <v>9</v>
      </c>
      <c r="C68" s="3">
        <f t="shared" si="3"/>
        <v>2.1918000000000002</v>
      </c>
      <c r="D68" s="3">
        <v>44.01</v>
      </c>
      <c r="E68" s="3">
        <f t="shared" si="4"/>
        <v>4.0297999999999998</v>
      </c>
    </row>
    <row r="69" spans="1:9" x14ac:dyDescent="0.25">
      <c r="A69" s="35">
        <v>4</v>
      </c>
      <c r="B69" s="31" t="s">
        <v>10</v>
      </c>
      <c r="C69" s="3">
        <f t="shared" si="3"/>
        <v>72.781800000000004</v>
      </c>
      <c r="D69" s="3">
        <v>16.04</v>
      </c>
      <c r="E69" s="3">
        <f t="shared" si="4"/>
        <v>48.770299999999999</v>
      </c>
    </row>
    <row r="70" spans="1:9" x14ac:dyDescent="0.25">
      <c r="A70" s="35">
        <v>5</v>
      </c>
      <c r="B70" s="31" t="s">
        <v>11</v>
      </c>
      <c r="C70" s="3">
        <f t="shared" si="3"/>
        <v>6.2027000000000001</v>
      </c>
      <c r="D70" s="3">
        <v>30.07</v>
      </c>
      <c r="E70" s="3">
        <f t="shared" si="4"/>
        <v>7.7919</v>
      </c>
    </row>
    <row r="71" spans="1:9" x14ac:dyDescent="0.25">
      <c r="A71" s="35">
        <v>6</v>
      </c>
      <c r="B71" s="31" t="s">
        <v>12</v>
      </c>
      <c r="C71" s="3">
        <f t="shared" si="3"/>
        <v>8.2727000000000004</v>
      </c>
      <c r="D71" s="3">
        <v>44.1</v>
      </c>
      <c r="E71" s="3">
        <f t="shared" si="4"/>
        <v>15.241</v>
      </c>
    </row>
    <row r="72" spans="1:9" x14ac:dyDescent="0.25">
      <c r="A72" s="35">
        <v>7</v>
      </c>
      <c r="B72" s="31" t="s">
        <v>13</v>
      </c>
      <c r="C72" s="3">
        <f t="shared" si="3"/>
        <v>1.5572999999999999</v>
      </c>
      <c r="D72" s="3">
        <v>58.12</v>
      </c>
      <c r="E72" s="3">
        <f t="shared" si="4"/>
        <v>3.7812000000000001</v>
      </c>
    </row>
    <row r="73" spans="1:9" x14ac:dyDescent="0.25">
      <c r="A73" s="35">
        <v>8</v>
      </c>
      <c r="B73" s="31" t="s">
        <v>14</v>
      </c>
      <c r="C73" s="3">
        <f t="shared" si="3"/>
        <v>3.0981999999999998</v>
      </c>
      <c r="D73" s="3">
        <v>58.12</v>
      </c>
      <c r="E73" s="3">
        <f t="shared" si="4"/>
        <v>7.5225</v>
      </c>
    </row>
    <row r="74" spans="1:9" x14ac:dyDescent="0.25">
      <c r="A74" s="35">
        <v>9</v>
      </c>
      <c r="B74" s="31" t="s">
        <v>15</v>
      </c>
      <c r="C74" s="3">
        <f t="shared" si="3"/>
        <v>0.80179999999999996</v>
      </c>
      <c r="D74" s="3">
        <v>72.150999999999996</v>
      </c>
      <c r="E74" s="3">
        <f t="shared" si="4"/>
        <v>2.4167999999999998</v>
      </c>
    </row>
    <row r="75" spans="1:9" x14ac:dyDescent="0.25">
      <c r="A75" s="35">
        <v>10</v>
      </c>
      <c r="B75" s="31" t="s">
        <v>16</v>
      </c>
      <c r="C75" s="3">
        <f t="shared" si="3"/>
        <v>0.94</v>
      </c>
      <c r="D75" s="3">
        <v>72.150999999999996</v>
      </c>
      <c r="E75" s="3">
        <f t="shared" si="4"/>
        <v>2.8332999999999999</v>
      </c>
    </row>
    <row r="76" spans="1:9" x14ac:dyDescent="0.25">
      <c r="A76" s="35">
        <v>11</v>
      </c>
      <c r="B76" s="4" t="s">
        <v>209</v>
      </c>
      <c r="C76" s="3">
        <f t="shared" si="3"/>
        <v>1.1217999999999999</v>
      </c>
      <c r="D76" s="3">
        <v>86.178479999999993</v>
      </c>
      <c r="E76" s="3">
        <f t="shared" si="4"/>
        <v>4.0387000000000004</v>
      </c>
    </row>
    <row r="77" spans="1:9" x14ac:dyDescent="0.25">
      <c r="C77" s="33">
        <f>SUM(C66:C76)</f>
        <v>100.00190000000001</v>
      </c>
      <c r="E77" s="33">
        <f>SUM(E66:E76)</f>
        <v>100.00009999999999</v>
      </c>
    </row>
    <row r="80" spans="1:9" s="74" customFormat="1" x14ac:dyDescent="0.25">
      <c r="A80" s="88"/>
      <c r="B80" s="89" t="s">
        <v>252</v>
      </c>
      <c r="C80" s="88"/>
      <c r="D80" s="88"/>
      <c r="E80" s="88"/>
      <c r="F80" s="88"/>
      <c r="G80" s="88"/>
      <c r="H80" s="88"/>
      <c r="I80" s="88"/>
    </row>
    <row r="81" spans="1:9" s="74" customFormat="1" x14ac:dyDescent="0.25">
      <c r="A81" s="88"/>
      <c r="B81" s="88"/>
      <c r="C81" s="88"/>
      <c r="D81" s="88"/>
      <c r="E81" s="88"/>
      <c r="F81" s="88"/>
      <c r="G81" s="88"/>
      <c r="H81" s="88"/>
      <c r="I81" s="88"/>
    </row>
    <row r="82" spans="1:9" s="74" customFormat="1" x14ac:dyDescent="0.25">
      <c r="A82" s="88"/>
      <c r="B82" s="88"/>
      <c r="C82" s="88"/>
      <c r="D82" s="90"/>
      <c r="E82" s="88"/>
      <c r="F82" s="88"/>
      <c r="G82" s="88"/>
      <c r="H82" s="88"/>
      <c r="I82" s="88"/>
    </row>
    <row r="83" spans="1:9" s="74" customFormat="1" x14ac:dyDescent="0.25">
      <c r="A83" s="88"/>
      <c r="B83" s="88"/>
      <c r="C83" s="88"/>
      <c r="D83" s="88"/>
      <c r="E83" s="88"/>
      <c r="F83" s="88"/>
      <c r="G83" s="88"/>
      <c r="H83" s="88"/>
      <c r="I83" s="88"/>
    </row>
    <row r="84" spans="1:9" s="74" customFormat="1" x14ac:dyDescent="0.25">
      <c r="A84" s="88"/>
      <c r="B84" s="88"/>
      <c r="C84" s="88"/>
      <c r="D84" s="88"/>
      <c r="E84" s="88"/>
      <c r="F84" s="88"/>
      <c r="G84" s="88"/>
      <c r="H84" s="88"/>
      <c r="I84" s="88"/>
    </row>
    <row r="85" spans="1:9" s="74" customFormat="1" x14ac:dyDescent="0.25">
      <c r="A85" s="88"/>
      <c r="B85" s="88"/>
      <c r="C85" s="88"/>
      <c r="D85" s="88"/>
      <c r="E85" s="88"/>
      <c r="F85" s="88"/>
      <c r="G85" s="88"/>
      <c r="H85" s="88"/>
      <c r="I85" s="88"/>
    </row>
    <row r="86" spans="1:9" s="74" customFormat="1" x14ac:dyDescent="0.25">
      <c r="A86" s="88"/>
      <c r="B86" s="88"/>
      <c r="C86" s="88"/>
      <c r="D86" s="88"/>
      <c r="E86" s="88"/>
      <c r="F86" s="88"/>
      <c r="G86" s="88"/>
      <c r="H86" s="88"/>
      <c r="I86" s="88"/>
    </row>
    <row r="87" spans="1:9" s="74" customFormat="1" ht="18" x14ac:dyDescent="0.35">
      <c r="A87" s="88"/>
      <c r="B87" s="88" t="s">
        <v>221</v>
      </c>
      <c r="C87" s="88" t="s">
        <v>224</v>
      </c>
      <c r="D87" s="88"/>
      <c r="E87" s="88"/>
      <c r="F87" s="88"/>
      <c r="G87" s="88"/>
      <c r="H87" s="88"/>
      <c r="I87" s="88"/>
    </row>
    <row r="88" spans="1:9" s="74" customFormat="1" ht="18.75" x14ac:dyDescent="0.35">
      <c r="A88" s="88"/>
      <c r="B88" s="88" t="s">
        <v>222</v>
      </c>
      <c r="C88" s="88" t="s">
        <v>225</v>
      </c>
      <c r="D88" s="88"/>
      <c r="E88" s="88"/>
      <c r="F88" s="88"/>
      <c r="G88" s="88"/>
      <c r="H88" s="88"/>
      <c r="I88" s="88"/>
    </row>
    <row r="89" spans="1:9" s="74" customFormat="1" x14ac:dyDescent="0.25">
      <c r="A89" s="88"/>
      <c r="B89" s="88" t="s">
        <v>223</v>
      </c>
      <c r="C89" s="88" t="s">
        <v>226</v>
      </c>
      <c r="D89" s="90"/>
      <c r="E89" s="88"/>
      <c r="F89" s="88"/>
      <c r="G89" s="88"/>
      <c r="H89" s="88"/>
      <c r="I89" s="88"/>
    </row>
    <row r="90" spans="1:9" s="74" customFormat="1" x14ac:dyDescent="0.25">
      <c r="A90" s="88"/>
      <c r="B90" s="88"/>
      <c r="C90" s="88"/>
      <c r="D90" s="90"/>
      <c r="E90" s="88"/>
      <c r="F90" s="88"/>
      <c r="G90" s="88"/>
      <c r="H90" s="88"/>
      <c r="I90" s="88"/>
    </row>
    <row r="91" spans="1:9" s="74" customFormat="1" x14ac:dyDescent="0.25">
      <c r="A91" s="88"/>
      <c r="B91" s="88"/>
      <c r="C91" s="88"/>
      <c r="D91" s="88"/>
      <c r="E91" s="88"/>
      <c r="F91" s="88"/>
      <c r="G91" s="88"/>
      <c r="H91" s="88"/>
      <c r="I91" s="88"/>
    </row>
    <row r="92" spans="1:9" s="74" customFormat="1" x14ac:dyDescent="0.25">
      <c r="A92" s="88"/>
      <c r="B92" s="88"/>
      <c r="C92" s="88"/>
      <c r="D92" s="88"/>
      <c r="E92" s="88"/>
      <c r="F92" s="88"/>
      <c r="G92" s="88"/>
      <c r="H92" s="88"/>
      <c r="I92" s="88"/>
    </row>
    <row r="93" spans="1:9" s="74" customFormat="1" x14ac:dyDescent="0.25">
      <c r="A93" s="88"/>
      <c r="B93" s="88"/>
      <c r="C93" s="88"/>
      <c r="D93" s="88"/>
      <c r="E93" s="88"/>
      <c r="F93" s="88"/>
      <c r="G93" s="88"/>
      <c r="H93" s="88"/>
      <c r="I93" s="88"/>
    </row>
    <row r="94" spans="1:9" s="74" customFormat="1" x14ac:dyDescent="0.25">
      <c r="A94" s="88"/>
      <c r="B94" s="88"/>
      <c r="C94" s="88"/>
      <c r="D94" s="90"/>
      <c r="E94" s="88"/>
      <c r="F94" s="88"/>
      <c r="G94" s="88"/>
      <c r="H94" s="88"/>
      <c r="I94" s="88"/>
    </row>
    <row r="95" spans="1:9" s="74" customFormat="1" x14ac:dyDescent="0.25">
      <c r="A95" s="88"/>
      <c r="B95" s="88"/>
      <c r="C95" s="88"/>
      <c r="D95" s="90"/>
      <c r="E95" s="88"/>
      <c r="F95" s="88"/>
      <c r="G95" s="88"/>
      <c r="H95" s="88"/>
      <c r="I95" s="88"/>
    </row>
    <row r="96" spans="1:9" s="74" customFormat="1" ht="18.75" x14ac:dyDescent="0.35">
      <c r="A96" s="88"/>
      <c r="B96" s="88" t="s">
        <v>227</v>
      </c>
      <c r="C96" s="88" t="s">
        <v>229</v>
      </c>
      <c r="D96" s="90"/>
      <c r="E96" s="88"/>
      <c r="F96" s="88"/>
      <c r="G96" s="88"/>
      <c r="H96" s="88"/>
      <c r="I96" s="88"/>
    </row>
    <row r="97" spans="1:9" s="74" customFormat="1" ht="18" x14ac:dyDescent="0.35">
      <c r="A97" s="88"/>
      <c r="B97" s="88" t="s">
        <v>214</v>
      </c>
      <c r="C97" s="88" t="s">
        <v>215</v>
      </c>
      <c r="D97" s="90"/>
      <c r="E97" s="88"/>
      <c r="F97" s="88"/>
      <c r="G97" s="88"/>
      <c r="H97" s="88"/>
      <c r="I97" s="88"/>
    </row>
    <row r="98" spans="1:9" s="74" customFormat="1" ht="18" x14ac:dyDescent="0.35">
      <c r="A98" s="88"/>
      <c r="B98" s="88" t="s">
        <v>216</v>
      </c>
      <c r="C98" s="88" t="s">
        <v>242</v>
      </c>
      <c r="D98" s="90"/>
      <c r="E98" s="88"/>
      <c r="F98" s="88"/>
      <c r="G98" s="88"/>
      <c r="H98" s="88"/>
      <c r="I98" s="88"/>
    </row>
    <row r="99" spans="1:9" s="74" customFormat="1" ht="18.75" x14ac:dyDescent="0.35">
      <c r="A99" s="88"/>
      <c r="B99" s="88" t="s">
        <v>217</v>
      </c>
      <c r="C99" s="88" t="s">
        <v>243</v>
      </c>
      <c r="D99" s="90"/>
      <c r="E99" s="88"/>
      <c r="F99" s="88"/>
      <c r="G99" s="88"/>
      <c r="H99" s="88">
        <v>45.064</v>
      </c>
      <c r="I99" s="88" t="s">
        <v>245</v>
      </c>
    </row>
    <row r="100" spans="1:9" s="74" customFormat="1" x14ac:dyDescent="0.25">
      <c r="A100" s="88"/>
      <c r="B100" s="88"/>
      <c r="C100" s="88"/>
      <c r="D100" s="90"/>
      <c r="E100" s="88"/>
      <c r="F100" s="88"/>
      <c r="G100" s="88"/>
      <c r="H100" s="88"/>
      <c r="I100" s="88"/>
    </row>
    <row r="101" spans="1:9" s="74" customFormat="1" x14ac:dyDescent="0.25">
      <c r="A101" s="88"/>
      <c r="B101" s="88"/>
      <c r="C101" s="88"/>
      <c r="D101" s="88"/>
      <c r="E101" s="88"/>
      <c r="F101" s="88"/>
      <c r="G101" s="88"/>
      <c r="H101" s="88"/>
      <c r="I101" s="88"/>
    </row>
    <row r="102" spans="1:9" s="74" customFormat="1" x14ac:dyDescent="0.25">
      <c r="A102" s="88"/>
      <c r="B102" s="88"/>
      <c r="C102" s="88"/>
      <c r="D102" s="88"/>
      <c r="E102" s="88"/>
      <c r="F102" s="88"/>
      <c r="G102" s="88"/>
      <c r="H102" s="88"/>
      <c r="I102" s="88"/>
    </row>
    <row r="103" spans="1:9" s="74" customFormat="1" x14ac:dyDescent="0.25">
      <c r="A103" s="88"/>
      <c r="B103" s="88"/>
      <c r="C103" s="88"/>
      <c r="D103" s="88"/>
      <c r="E103" s="88"/>
      <c r="F103" s="88"/>
      <c r="G103" s="88"/>
      <c r="H103" s="88"/>
      <c r="I103" s="88"/>
    </row>
    <row r="104" spans="1:9" s="74" customFormat="1" x14ac:dyDescent="0.25">
      <c r="A104" s="88"/>
      <c r="B104" s="88"/>
      <c r="C104" s="88"/>
      <c r="D104" s="88"/>
      <c r="E104" s="88"/>
      <c r="F104" s="88"/>
      <c r="G104" s="88"/>
      <c r="H104" s="88"/>
      <c r="I104" s="88"/>
    </row>
    <row r="105" spans="1:9" s="74" customFormat="1" ht="18.75" x14ac:dyDescent="0.35">
      <c r="A105" s="88"/>
      <c r="B105" s="88" t="s">
        <v>228</v>
      </c>
      <c r="C105" s="88" t="s">
        <v>230</v>
      </c>
      <c r="D105" s="88"/>
      <c r="E105" s="88"/>
      <c r="F105" s="88"/>
      <c r="G105" s="88"/>
      <c r="H105" s="88"/>
      <c r="I105" s="88"/>
    </row>
    <row r="106" spans="1:9" s="74" customFormat="1" x14ac:dyDescent="0.25">
      <c r="A106" s="88"/>
      <c r="B106" s="88"/>
      <c r="C106" s="88"/>
      <c r="D106" s="88"/>
      <c r="E106" s="88"/>
      <c r="F106" s="88"/>
      <c r="G106" s="88"/>
      <c r="H106" s="88"/>
      <c r="I106" s="88"/>
    </row>
    <row r="107" spans="1:9" s="74" customFormat="1" x14ac:dyDescent="0.25">
      <c r="A107" s="88"/>
      <c r="B107" s="88"/>
      <c r="C107" s="88"/>
      <c r="D107" s="88"/>
      <c r="E107" s="88"/>
      <c r="F107" s="88"/>
      <c r="G107" s="88"/>
      <c r="H107" s="88"/>
      <c r="I107" s="88"/>
    </row>
    <row r="108" spans="1:9" s="74" customFormat="1" x14ac:dyDescent="0.25">
      <c r="A108" s="88"/>
      <c r="B108" s="88"/>
      <c r="C108" s="88"/>
      <c r="D108" s="88"/>
      <c r="E108" s="88"/>
      <c r="F108" s="88"/>
      <c r="G108" s="88"/>
      <c r="H108" s="88"/>
      <c r="I108" s="88"/>
    </row>
    <row r="109" spans="1:9" s="74" customFormat="1" x14ac:dyDescent="0.25">
      <c r="A109" s="88"/>
      <c r="B109" s="88"/>
      <c r="C109" s="88"/>
      <c r="D109" s="88"/>
      <c r="E109" s="88"/>
      <c r="F109" s="88"/>
      <c r="G109" s="88"/>
      <c r="H109" s="88"/>
      <c r="I109" s="88"/>
    </row>
    <row r="110" spans="1:9" s="74" customFormat="1" x14ac:dyDescent="0.25">
      <c r="A110" s="88"/>
      <c r="B110" s="88"/>
      <c r="C110" s="88"/>
      <c r="D110" s="88"/>
      <c r="E110" s="88"/>
      <c r="F110" s="88"/>
      <c r="G110" s="88"/>
      <c r="H110" s="88"/>
      <c r="I110" s="88"/>
    </row>
    <row r="111" spans="1:9" s="74" customFormat="1" ht="18" x14ac:dyDescent="0.35">
      <c r="A111" s="88"/>
      <c r="B111" s="88" t="s">
        <v>232</v>
      </c>
      <c r="C111" s="88" t="s">
        <v>233</v>
      </c>
      <c r="D111" s="88"/>
      <c r="E111" s="88"/>
      <c r="F111" s="88"/>
      <c r="G111" s="88"/>
      <c r="H111" s="88"/>
      <c r="I111" s="88"/>
    </row>
    <row r="112" spans="1:9" s="74" customFormat="1" ht="17.25" x14ac:dyDescent="0.25">
      <c r="A112" s="88"/>
      <c r="B112" s="88" t="s">
        <v>218</v>
      </c>
      <c r="C112" s="88" t="s">
        <v>231</v>
      </c>
      <c r="D112" s="88"/>
      <c r="E112" s="88"/>
      <c r="F112" s="88"/>
      <c r="G112" s="88">
        <v>8.3144621000000001</v>
      </c>
      <c r="H112" s="88" t="s">
        <v>244</v>
      </c>
      <c r="I112" s="88"/>
    </row>
    <row r="113" spans="1:9" s="74" customFormat="1" ht="18" x14ac:dyDescent="0.35">
      <c r="A113" s="88"/>
      <c r="B113" s="88" t="s">
        <v>220</v>
      </c>
      <c r="C113" s="88" t="s">
        <v>219</v>
      </c>
      <c r="D113" s="88"/>
      <c r="E113" s="88">
        <v>273.14999999999998</v>
      </c>
      <c r="F113" s="88" t="s">
        <v>248</v>
      </c>
      <c r="G113" s="88"/>
      <c r="H113" s="88"/>
      <c r="I113" s="88"/>
    </row>
    <row r="114" spans="1:9" s="74" customFormat="1" x14ac:dyDescent="0.25">
      <c r="A114" s="88"/>
      <c r="B114" s="88"/>
      <c r="C114" s="88"/>
      <c r="D114" s="88"/>
      <c r="E114" s="88"/>
      <c r="F114" s="88"/>
      <c r="G114" s="88"/>
      <c r="H114" s="88"/>
      <c r="I114" s="88"/>
    </row>
    <row r="115" spans="1:9" s="74" customFormat="1" x14ac:dyDescent="0.25">
      <c r="A115" s="88"/>
      <c r="B115" s="88"/>
      <c r="C115" s="88"/>
      <c r="D115" s="88"/>
      <c r="E115" s="88"/>
      <c r="F115" s="88"/>
      <c r="G115" s="88"/>
      <c r="H115" s="88"/>
      <c r="I115" s="88"/>
    </row>
    <row r="116" spans="1:9" s="74" customFormat="1" x14ac:dyDescent="0.25">
      <c r="A116" s="88"/>
      <c r="B116" s="88"/>
      <c r="C116" s="88"/>
      <c r="D116" s="88"/>
      <c r="E116" s="88"/>
      <c r="F116" s="88"/>
      <c r="G116" s="88"/>
      <c r="H116" s="88"/>
      <c r="I116" s="88"/>
    </row>
    <row r="117" spans="1:9" s="74" customFormat="1" x14ac:dyDescent="0.25">
      <c r="A117" s="88"/>
      <c r="B117" s="88"/>
      <c r="C117" s="88"/>
      <c r="D117" s="88"/>
      <c r="E117" s="88"/>
      <c r="F117" s="88"/>
      <c r="G117" s="88"/>
      <c r="H117" s="88"/>
      <c r="I117" s="88"/>
    </row>
    <row r="118" spans="1:9" s="74" customFormat="1" x14ac:dyDescent="0.25">
      <c r="A118" s="88"/>
      <c r="B118" s="88"/>
      <c r="C118" s="88"/>
      <c r="D118" s="88"/>
      <c r="E118" s="88"/>
      <c r="F118" s="88"/>
      <c r="G118" s="88"/>
      <c r="H118" s="88"/>
      <c r="I118" s="88"/>
    </row>
    <row r="119" spans="1:9" s="74" customFormat="1" x14ac:dyDescent="0.25">
      <c r="A119" s="88"/>
      <c r="B119" s="88"/>
      <c r="C119" s="88"/>
      <c r="D119" s="88"/>
      <c r="E119" s="88"/>
      <c r="F119" s="88"/>
      <c r="G119" s="88"/>
      <c r="H119" s="88"/>
      <c r="I119" s="88"/>
    </row>
    <row r="120" spans="1:9" s="74" customFormat="1" ht="18" x14ac:dyDescent="0.35">
      <c r="A120" s="88"/>
      <c r="B120" s="88" t="s">
        <v>236</v>
      </c>
      <c r="C120" s="88" t="s">
        <v>234</v>
      </c>
      <c r="D120" s="88"/>
      <c r="E120" s="88">
        <v>101.325</v>
      </c>
      <c r="F120" s="88" t="s">
        <v>247</v>
      </c>
      <c r="G120" s="88"/>
      <c r="H120" s="88"/>
      <c r="I120" s="88"/>
    </row>
    <row r="121" spans="1:9" s="74" customFormat="1" ht="18" x14ac:dyDescent="0.35">
      <c r="A121" s="88"/>
      <c r="B121" s="88" t="s">
        <v>237</v>
      </c>
      <c r="C121" s="88" t="s">
        <v>235</v>
      </c>
      <c r="D121" s="88"/>
      <c r="E121" s="88"/>
      <c r="F121" s="88"/>
      <c r="G121" s="88"/>
      <c r="H121" s="88"/>
      <c r="I121" s="88"/>
    </row>
    <row r="122" spans="1:9" s="74" customFormat="1" ht="18" x14ac:dyDescent="0.35">
      <c r="A122" s="88"/>
      <c r="B122" s="88" t="s">
        <v>239</v>
      </c>
      <c r="C122" s="88" t="s">
        <v>238</v>
      </c>
      <c r="D122" s="88"/>
      <c r="E122" s="88"/>
      <c r="F122" s="88"/>
      <c r="G122" s="88"/>
      <c r="H122" s="88"/>
      <c r="I122" s="88"/>
    </row>
    <row r="123" spans="1:9" s="74" customFormat="1" x14ac:dyDescent="0.25">
      <c r="A123" s="88"/>
      <c r="B123" s="88"/>
      <c r="C123" s="88"/>
      <c r="D123" s="88"/>
      <c r="E123" s="88"/>
      <c r="F123" s="88"/>
      <c r="G123" s="88"/>
      <c r="H123" s="88"/>
      <c r="I123" s="88"/>
    </row>
    <row r="124" spans="1:9" s="74" customFormat="1" ht="108.75" x14ac:dyDescent="0.25">
      <c r="A124" s="91" t="s">
        <v>29</v>
      </c>
      <c r="B124" s="92" t="s">
        <v>30</v>
      </c>
      <c r="C124" s="92" t="s">
        <v>47</v>
      </c>
      <c r="D124" s="93" t="s">
        <v>240</v>
      </c>
      <c r="E124" s="92" t="s">
        <v>241</v>
      </c>
      <c r="F124" s="92" t="s">
        <v>216</v>
      </c>
      <c r="G124" s="94" t="s">
        <v>246</v>
      </c>
      <c r="H124" s="94" t="s">
        <v>239</v>
      </c>
      <c r="I124" s="94" t="s">
        <v>249</v>
      </c>
    </row>
    <row r="125" spans="1:9" s="74" customFormat="1" x14ac:dyDescent="0.25">
      <c r="A125" s="91">
        <v>1</v>
      </c>
      <c r="B125" s="92" t="s">
        <v>5</v>
      </c>
      <c r="C125" s="99">
        <f>C37</f>
        <v>0.1547</v>
      </c>
      <c r="D125" s="92"/>
      <c r="E125" s="92"/>
      <c r="F125" s="92"/>
      <c r="G125" s="92"/>
      <c r="H125" s="92"/>
      <c r="I125" s="92"/>
    </row>
    <row r="126" spans="1:9" s="74" customFormat="1" x14ac:dyDescent="0.25">
      <c r="A126" s="91">
        <v>2</v>
      </c>
      <c r="B126" s="92" t="s">
        <v>8</v>
      </c>
      <c r="C126" s="92">
        <f t="shared" ref="C126:C135" si="5">C38</f>
        <v>2.8791000000000002</v>
      </c>
      <c r="D126" s="92"/>
      <c r="E126" s="92"/>
      <c r="F126" s="92"/>
      <c r="G126" s="92"/>
      <c r="H126" s="92"/>
      <c r="I126" s="92"/>
    </row>
    <row r="127" spans="1:9" s="74" customFormat="1" x14ac:dyDescent="0.25">
      <c r="A127" s="91">
        <v>3</v>
      </c>
      <c r="B127" s="92" t="s">
        <v>9</v>
      </c>
      <c r="C127" s="92">
        <f t="shared" si="5"/>
        <v>2.1918000000000002</v>
      </c>
      <c r="D127" s="92"/>
      <c r="E127" s="92"/>
      <c r="F127" s="92"/>
      <c r="G127" s="92"/>
      <c r="H127" s="92"/>
      <c r="I127" s="92"/>
    </row>
    <row r="128" spans="1:9" s="74" customFormat="1" x14ac:dyDescent="0.25">
      <c r="A128" s="91">
        <v>4</v>
      </c>
      <c r="B128" s="92" t="s">
        <v>10</v>
      </c>
      <c r="C128" s="92">
        <f t="shared" si="5"/>
        <v>72.781800000000004</v>
      </c>
      <c r="D128" s="95">
        <v>892.92</v>
      </c>
      <c r="E128" s="95">
        <f>ROUND(C128*D128/100,4)</f>
        <v>649.88319999999999</v>
      </c>
      <c r="F128" s="95">
        <v>4</v>
      </c>
      <c r="G128" s="95">
        <f>ROUND((C128/100)*(F128/2)*H$99,4)</f>
        <v>65.596800000000002</v>
      </c>
      <c r="H128" s="95">
        <v>4.8860000000000001E-2</v>
      </c>
      <c r="I128" s="95">
        <f>ROUND(C128*H128/100,5)</f>
        <v>3.5560000000000001E-2</v>
      </c>
    </row>
    <row r="129" spans="1:9" s="74" customFormat="1" x14ac:dyDescent="0.25">
      <c r="A129" s="91">
        <v>5</v>
      </c>
      <c r="B129" s="92" t="s">
        <v>11</v>
      </c>
      <c r="C129" s="92">
        <f t="shared" si="5"/>
        <v>6.2027000000000001</v>
      </c>
      <c r="D129" s="95">
        <v>1564.35</v>
      </c>
      <c r="E129" s="95">
        <f t="shared" ref="E129:E135" si="6">ROUND(C129*D129/100,4)</f>
        <v>97.031899999999993</v>
      </c>
      <c r="F129" s="95">
        <v>6</v>
      </c>
      <c r="G129" s="95">
        <f t="shared" ref="G129:G135" si="7">ROUND((C129/100)*(F129/2)*H$99,4)</f>
        <v>8.3856000000000002</v>
      </c>
      <c r="H129" s="95">
        <v>9.9699999999999997E-2</v>
      </c>
      <c r="I129" s="95">
        <f>ROUND(C129*H129/100,5)</f>
        <v>6.1799999999999997E-3</v>
      </c>
    </row>
    <row r="130" spans="1:9" s="74" customFormat="1" x14ac:dyDescent="0.25">
      <c r="A130" s="91">
        <v>6</v>
      </c>
      <c r="B130" s="92" t="s">
        <v>12</v>
      </c>
      <c r="C130" s="92">
        <f t="shared" si="5"/>
        <v>8.2727000000000004</v>
      </c>
      <c r="D130" s="95">
        <v>2224.0300000000002</v>
      </c>
      <c r="E130" s="95">
        <f t="shared" si="6"/>
        <v>183.9873</v>
      </c>
      <c r="F130" s="95">
        <v>8</v>
      </c>
      <c r="G130" s="95">
        <f t="shared" si="7"/>
        <v>14.912000000000001</v>
      </c>
      <c r="H130" s="95">
        <v>0.14649999999999999</v>
      </c>
      <c r="I130" s="95">
        <f t="shared" ref="I130:I135" si="8">ROUND(C130*H130/100,5)</f>
        <v>1.2120000000000001E-2</v>
      </c>
    </row>
    <row r="131" spans="1:9" s="74" customFormat="1" x14ac:dyDescent="0.25">
      <c r="A131" s="91">
        <v>7</v>
      </c>
      <c r="B131" s="92" t="s">
        <v>174</v>
      </c>
      <c r="C131" s="92">
        <f t="shared" si="5"/>
        <v>1.5572999999999999</v>
      </c>
      <c r="D131" s="95">
        <v>2874.21</v>
      </c>
      <c r="E131" s="95">
        <f t="shared" si="6"/>
        <v>44.760100000000001</v>
      </c>
      <c r="F131" s="95">
        <v>10</v>
      </c>
      <c r="G131" s="95">
        <f t="shared" si="7"/>
        <v>3.5089000000000001</v>
      </c>
      <c r="H131" s="95">
        <v>0.1885</v>
      </c>
      <c r="I131" s="95">
        <f t="shared" si="8"/>
        <v>2.9399999999999999E-3</v>
      </c>
    </row>
    <row r="132" spans="1:9" s="74" customFormat="1" x14ac:dyDescent="0.25">
      <c r="A132" s="91">
        <v>8</v>
      </c>
      <c r="B132" s="92" t="s">
        <v>14</v>
      </c>
      <c r="C132" s="92">
        <f t="shared" si="5"/>
        <v>3.0981999999999998</v>
      </c>
      <c r="D132" s="95">
        <v>2883.35</v>
      </c>
      <c r="E132" s="95">
        <f t="shared" si="6"/>
        <v>89.331900000000005</v>
      </c>
      <c r="F132" s="95">
        <v>10</v>
      </c>
      <c r="G132" s="95">
        <f t="shared" si="7"/>
        <v>6.9809000000000001</v>
      </c>
      <c r="H132" s="95">
        <v>0.20219999999999999</v>
      </c>
      <c r="I132" s="95">
        <f t="shared" si="8"/>
        <v>6.2599999999999999E-3</v>
      </c>
    </row>
    <row r="133" spans="1:9" s="74" customFormat="1" x14ac:dyDescent="0.25">
      <c r="A133" s="91">
        <v>9</v>
      </c>
      <c r="B133" s="92" t="s">
        <v>175</v>
      </c>
      <c r="C133" s="92">
        <f t="shared" si="5"/>
        <v>0.80179999999999996</v>
      </c>
      <c r="D133" s="95">
        <v>3536.01</v>
      </c>
      <c r="E133" s="95">
        <f t="shared" si="6"/>
        <v>28.351700000000001</v>
      </c>
      <c r="F133" s="95">
        <v>12</v>
      </c>
      <c r="G133" s="95">
        <f t="shared" si="7"/>
        <v>2.1678999999999999</v>
      </c>
      <c r="H133" s="95">
        <v>0.24579999999999999</v>
      </c>
      <c r="I133" s="95">
        <f t="shared" si="8"/>
        <v>1.97E-3</v>
      </c>
    </row>
    <row r="134" spans="1:9" s="74" customFormat="1" x14ac:dyDescent="0.25">
      <c r="A134" s="91">
        <v>10</v>
      </c>
      <c r="B134" s="92" t="s">
        <v>16</v>
      </c>
      <c r="C134" s="92">
        <f t="shared" si="5"/>
        <v>0.94</v>
      </c>
      <c r="D134" s="95">
        <v>3542.91</v>
      </c>
      <c r="E134" s="95">
        <f t="shared" si="6"/>
        <v>33.303400000000003</v>
      </c>
      <c r="F134" s="95">
        <v>12</v>
      </c>
      <c r="G134" s="95">
        <f t="shared" si="7"/>
        <v>2.5415999999999999</v>
      </c>
      <c r="H134" s="95">
        <v>0.2586</v>
      </c>
      <c r="I134" s="95">
        <f t="shared" si="8"/>
        <v>2.4299999999999999E-3</v>
      </c>
    </row>
    <row r="135" spans="1:9" s="74" customFormat="1" x14ac:dyDescent="0.25">
      <c r="A135" s="91">
        <v>11</v>
      </c>
      <c r="B135" s="92" t="s">
        <v>209</v>
      </c>
      <c r="C135" s="92">
        <f t="shared" si="5"/>
        <v>1.1217999999999999</v>
      </c>
      <c r="D135" s="95">
        <v>4203.24</v>
      </c>
      <c r="E135" s="95">
        <f t="shared" si="6"/>
        <v>47.151899999999998</v>
      </c>
      <c r="F135" s="95">
        <v>14</v>
      </c>
      <c r="G135" s="95">
        <f t="shared" si="7"/>
        <v>3.5387</v>
      </c>
      <c r="H135" s="95">
        <v>0.33189999999999997</v>
      </c>
      <c r="I135" s="95">
        <f t="shared" si="8"/>
        <v>3.7200000000000002E-3</v>
      </c>
    </row>
    <row r="136" spans="1:9" s="74" customFormat="1" x14ac:dyDescent="0.25">
      <c r="A136" s="138"/>
      <c r="B136" s="138"/>
      <c r="C136" s="138"/>
      <c r="D136" s="138"/>
      <c r="E136" s="96">
        <f>SUM(E128:E135)</f>
        <v>1173.8013999999998</v>
      </c>
      <c r="F136" s="97"/>
      <c r="G136" s="96">
        <f>SUM(G128:G135)</f>
        <v>107.63240000000002</v>
      </c>
      <c r="H136" s="97"/>
      <c r="I136" s="96">
        <f>SUM(I128:I135)</f>
        <v>7.1179999999999993E-2</v>
      </c>
    </row>
    <row r="137" spans="1:9" s="74" customFormat="1" x14ac:dyDescent="0.25">
      <c r="A137" s="88"/>
      <c r="B137" s="88"/>
      <c r="C137" s="88"/>
      <c r="D137" s="88"/>
      <c r="E137" s="88"/>
      <c r="F137" s="88"/>
      <c r="G137" s="88"/>
      <c r="H137" s="88"/>
      <c r="I137" s="88"/>
    </row>
    <row r="138" spans="1:9" s="74" customFormat="1" ht="18.75" x14ac:dyDescent="0.35">
      <c r="A138" s="88"/>
      <c r="B138" s="88" t="s">
        <v>228</v>
      </c>
      <c r="C138" s="90" t="s">
        <v>250</v>
      </c>
      <c r="D138" s="88"/>
      <c r="E138" s="88"/>
      <c r="F138" s="88">
        <f>E136</f>
        <v>1173.8013999999998</v>
      </c>
      <c r="G138" s="88"/>
      <c r="H138" s="88"/>
      <c r="I138" s="88"/>
    </row>
    <row r="139" spans="1:9" s="74" customFormat="1" x14ac:dyDescent="0.25">
      <c r="A139" s="88"/>
      <c r="B139" s="88"/>
      <c r="C139" s="88"/>
      <c r="D139" s="88"/>
      <c r="E139" s="88"/>
      <c r="F139" s="88"/>
      <c r="G139" s="88"/>
      <c r="H139" s="88"/>
      <c r="I139" s="88"/>
    </row>
    <row r="140" spans="1:9" s="74" customFormat="1" ht="18.75" x14ac:dyDescent="0.35">
      <c r="A140" s="88"/>
      <c r="B140" s="88" t="s">
        <v>222</v>
      </c>
      <c r="C140" s="88" t="str">
        <f>CONCATENATE("= ",E136," - ",G136," = ",)</f>
        <v xml:space="preserve">= 1173.8014 - 107.6324 = </v>
      </c>
      <c r="D140" s="88"/>
      <c r="E140" s="88"/>
      <c r="F140" s="88">
        <f>E136-G136</f>
        <v>1066.1689999999999</v>
      </c>
      <c r="G140" s="88"/>
      <c r="H140" s="88"/>
      <c r="I140" s="88"/>
    </row>
    <row r="141" spans="1:9" s="74" customFormat="1" x14ac:dyDescent="0.25">
      <c r="A141" s="88"/>
      <c r="B141" s="88"/>
      <c r="C141" s="88"/>
      <c r="D141" s="88"/>
      <c r="E141" s="88"/>
      <c r="F141" s="88"/>
      <c r="G141" s="88"/>
      <c r="H141" s="88"/>
      <c r="I141" s="88"/>
    </row>
    <row r="142" spans="1:9" s="74" customFormat="1" ht="18" x14ac:dyDescent="0.35">
      <c r="A142" s="88"/>
      <c r="B142" s="88" t="s">
        <v>232</v>
      </c>
      <c r="C142" s="88" t="str">
        <f>CONCATENATE(" = 1 - ",I136,"^2 = ")</f>
        <v xml:space="preserve"> = 1 - 0.07118^2 = </v>
      </c>
      <c r="D142" s="88"/>
      <c r="E142" s="88"/>
      <c r="F142" s="88">
        <f>ROUND(1-I136^2,4)</f>
        <v>0.99490000000000001</v>
      </c>
      <c r="G142" s="88"/>
      <c r="H142" s="88"/>
      <c r="I142" s="88"/>
    </row>
    <row r="143" spans="1:9" s="74" customFormat="1" x14ac:dyDescent="0.25">
      <c r="A143" s="88"/>
      <c r="B143" s="88"/>
      <c r="C143" s="88"/>
      <c r="D143" s="88"/>
      <c r="E143" s="88"/>
      <c r="F143" s="88"/>
      <c r="G143" s="88"/>
      <c r="H143" s="88"/>
      <c r="I143" s="88"/>
    </row>
    <row r="144" spans="1:9" s="74" customFormat="1" x14ac:dyDescent="0.25">
      <c r="A144" s="88"/>
      <c r="B144" s="88" t="s">
        <v>251</v>
      </c>
      <c r="C144" s="88" t="str">
        <f>CONCATENATE(" = ",F142," * ",G112," * ",E113," / ",E120," = ")</f>
        <v xml:space="preserve"> = 0.9949 * 8.3144621 * 273.15 / 101.325 = </v>
      </c>
      <c r="D144" s="88"/>
      <c r="E144" s="88"/>
      <c r="F144" s="88">
        <f>ROUND(F142*G112*E113/E120,4)</f>
        <v>22.299700000000001</v>
      </c>
      <c r="G144" s="88"/>
      <c r="H144" s="88"/>
      <c r="I144" s="88"/>
    </row>
    <row r="145" spans="1:9" s="74" customFormat="1" x14ac:dyDescent="0.25">
      <c r="A145" s="88"/>
      <c r="B145" s="88"/>
      <c r="C145" s="88"/>
      <c r="D145" s="88"/>
      <c r="E145" s="88"/>
      <c r="F145" s="88"/>
      <c r="G145" s="88"/>
      <c r="H145" s="88"/>
      <c r="I145" s="88"/>
    </row>
    <row r="146" spans="1:9" s="74" customFormat="1" ht="18" x14ac:dyDescent="0.35">
      <c r="A146" s="88"/>
      <c r="B146" s="88" t="s">
        <v>221</v>
      </c>
      <c r="C146" s="88" t="str">
        <f>CONCATENATE(" = ",F140," / ",F144, " = ")</f>
        <v xml:space="preserve"> = 1066.169 / 22.2997 = </v>
      </c>
      <c r="D146" s="88"/>
      <c r="E146" s="88"/>
      <c r="F146" s="88">
        <f>ROUND(F140/F144,2)</f>
        <v>47.81</v>
      </c>
      <c r="G146" s="88"/>
      <c r="H146" s="88"/>
      <c r="I146" s="88"/>
    </row>
    <row r="147" spans="1:9" s="74" customFormat="1" x14ac:dyDescent="0.25">
      <c r="A147" s="88"/>
      <c r="B147" s="88"/>
      <c r="C147" s="88"/>
      <c r="D147" s="88"/>
      <c r="E147" s="88"/>
      <c r="F147" s="88"/>
      <c r="G147" s="88"/>
      <c r="H147" s="88"/>
      <c r="I147" s="88"/>
    </row>
    <row r="148" spans="1:9" s="74" customFormat="1" x14ac:dyDescent="0.25">
      <c r="A148" s="88" t="s">
        <v>253</v>
      </c>
      <c r="B148" s="88"/>
      <c r="C148" s="88"/>
      <c r="D148" s="88"/>
      <c r="E148" s="89">
        <f>ROUND(F140/F144,2)</f>
        <v>47.81</v>
      </c>
      <c r="F148" s="88"/>
      <c r="G148" s="88"/>
      <c r="H148" s="88"/>
      <c r="I148" s="88"/>
    </row>
  </sheetData>
  <mergeCells count="4">
    <mergeCell ref="A21:A22"/>
    <mergeCell ref="B21:B22"/>
    <mergeCell ref="C21:R21"/>
    <mergeCell ref="A136:D136"/>
  </mergeCells>
  <pageMargins left="0.7" right="0.7" top="0.75" bottom="0.75" header="0.3" footer="0.3"/>
  <pageSetup paperSize="9"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view="pageBreakPreview" zoomScale="80" zoomScaleNormal="120" zoomScaleSheetLayoutView="80" workbookViewId="0">
      <selection activeCell="AA13" sqref="AA13"/>
    </sheetView>
  </sheetViews>
  <sheetFormatPr defaultRowHeight="15" x14ac:dyDescent="0.25"/>
  <cols>
    <col min="1" max="1" width="63.85546875" customWidth="1"/>
    <col min="15" max="15" width="11.28515625" customWidth="1"/>
    <col min="16" max="16" width="11.42578125" customWidth="1"/>
    <col min="17" max="17" width="10.85546875" customWidth="1"/>
  </cols>
  <sheetData>
    <row r="1" spans="1:18" x14ac:dyDescent="0.25">
      <c r="A1" t="s">
        <v>135</v>
      </c>
      <c r="K1" s="84"/>
      <c r="M1" s="84"/>
    </row>
    <row r="2" spans="1:18" x14ac:dyDescent="0.25">
      <c r="A2" t="s">
        <v>134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8" hidden="1" x14ac:dyDescent="0.25">
      <c r="B3" s="84" t="e">
        <f>B9-B11-#REF!-B19-#REF!</f>
        <v>#REF!</v>
      </c>
      <c r="C3" s="84" t="e">
        <f>C9-C11-#REF!-C19-#REF!</f>
        <v>#REF!</v>
      </c>
      <c r="D3" s="84" t="e">
        <f>D9-D11-#REF!-D19-#REF!</f>
        <v>#REF!</v>
      </c>
      <c r="E3" s="84" t="e">
        <f>E9-E11-#REF!-E19-#REF!</f>
        <v>#REF!</v>
      </c>
      <c r="F3" s="84" t="e">
        <f>F9-F11-#REF!-F19-#REF!</f>
        <v>#REF!</v>
      </c>
      <c r="G3" s="84" t="e">
        <f>G9-G11-#REF!-G19-#REF!</f>
        <v>#REF!</v>
      </c>
      <c r="H3" s="84" t="e">
        <f>H9-H11-#REF!-H19-#REF!</f>
        <v>#REF!</v>
      </c>
      <c r="I3" s="84" t="e">
        <f>I9-I11-#REF!-I19-#REF!</f>
        <v>#REF!</v>
      </c>
      <c r="J3" s="84" t="e">
        <f>J9-J11-#REF!-J19-#REF!</f>
        <v>#REF!</v>
      </c>
      <c r="K3" s="84" t="e">
        <f>K9-K11-#REF!-K19-#REF!</f>
        <v>#REF!</v>
      </c>
      <c r="L3" s="84" t="e">
        <f>L9-L11-#REF!-L19-#REF!</f>
        <v>#REF!</v>
      </c>
      <c r="M3" s="84" t="e">
        <f>M9-M11-#REF!-M19-#REF!</f>
        <v>#REF!</v>
      </c>
      <c r="N3" s="84" t="e">
        <f>N9-N11-#REF!-N19-#REF!</f>
        <v>#REF!</v>
      </c>
      <c r="O3" s="84" t="e">
        <f>O9-O11-#REF!-O19-#REF!</f>
        <v>#REF!</v>
      </c>
      <c r="P3" s="84" t="e">
        <f>P9-P11-#REF!-P19-#REF!</f>
        <v>#REF!</v>
      </c>
      <c r="Q3" s="84" t="e">
        <f>Q9-Q11-#REF!-Q19-#REF!</f>
        <v>#REF!</v>
      </c>
    </row>
    <row r="4" spans="1:18" hidden="1" x14ac:dyDescent="0.25">
      <c r="B4" s="84" t="e">
        <f>B10-B11-#REF!</f>
        <v>#REF!</v>
      </c>
      <c r="C4" s="84" t="e">
        <f>C10-C11-#REF!</f>
        <v>#REF!</v>
      </c>
      <c r="D4" s="84" t="e">
        <f>D10-D11-#REF!</f>
        <v>#REF!</v>
      </c>
      <c r="E4" s="84" t="e">
        <f>E10-E11-#REF!</f>
        <v>#REF!</v>
      </c>
      <c r="F4" s="84" t="e">
        <f>F10-F11-#REF!-#REF!</f>
        <v>#REF!</v>
      </c>
      <c r="G4" s="84" t="e">
        <f>G10-G11-#REF!-#REF!</f>
        <v>#REF!</v>
      </c>
      <c r="H4" s="84" t="e">
        <f>H10-H11-#REF!-#REF!</f>
        <v>#REF!</v>
      </c>
      <c r="I4" s="84" t="e">
        <f>I10-I11-#REF!-#REF!</f>
        <v>#REF!</v>
      </c>
      <c r="J4" s="84" t="e">
        <f>J10-J11-#REF!-#REF!</f>
        <v>#REF!</v>
      </c>
      <c r="K4" s="84" t="e">
        <f>K10-K11-#REF!-#REF!</f>
        <v>#REF!</v>
      </c>
      <c r="L4" s="84" t="e">
        <f>L10-L11-#REF!-#REF!</f>
        <v>#REF!</v>
      </c>
      <c r="M4" s="84" t="e">
        <f>M10-M11-#REF!-#REF!</f>
        <v>#REF!</v>
      </c>
      <c r="N4" s="84" t="e">
        <f>N10-N11-#REF!-#REF!</f>
        <v>#REF!</v>
      </c>
      <c r="O4" s="84" t="e">
        <f>O10-O11-#REF!-#REF!</f>
        <v>#REF!</v>
      </c>
      <c r="P4" s="84" t="e">
        <f>P10-P11-#REF!-#REF!</f>
        <v>#REF!</v>
      </c>
      <c r="Q4" s="84" t="e">
        <f>Q10-Q11-#REF!-#REF!</f>
        <v>#REF!</v>
      </c>
    </row>
    <row r="5" spans="1:18" ht="15.75" thickBot="1" x14ac:dyDescent="0.3">
      <c r="L5" s="84"/>
      <c r="M5" s="84"/>
      <c r="O5" s="84"/>
    </row>
    <row r="6" spans="1:18" ht="15.75" thickBot="1" x14ac:dyDescent="0.3">
      <c r="A6" s="15" t="s">
        <v>84</v>
      </c>
      <c r="B6" s="21" t="s">
        <v>58</v>
      </c>
      <c r="C6" s="21" t="s">
        <v>59</v>
      </c>
      <c r="D6" s="21" t="s">
        <v>60</v>
      </c>
      <c r="E6" s="21" t="s">
        <v>61</v>
      </c>
      <c r="F6" s="21" t="s">
        <v>62</v>
      </c>
      <c r="G6" s="21" t="s">
        <v>63</v>
      </c>
      <c r="H6" s="21" t="s">
        <v>64</v>
      </c>
      <c r="I6" s="21" t="s">
        <v>65</v>
      </c>
      <c r="J6" s="21" t="s">
        <v>66</v>
      </c>
      <c r="K6" s="21" t="s">
        <v>67</v>
      </c>
      <c r="L6" s="21" t="s">
        <v>68</v>
      </c>
      <c r="M6" s="21" t="s">
        <v>69</v>
      </c>
      <c r="N6" s="21" t="s">
        <v>70</v>
      </c>
      <c r="O6" s="21" t="s">
        <v>71</v>
      </c>
      <c r="P6" s="21" t="s">
        <v>72</v>
      </c>
      <c r="Q6" s="21" t="s">
        <v>169</v>
      </c>
    </row>
    <row r="7" spans="1:18" x14ac:dyDescent="0.25">
      <c r="A7" s="16" t="s">
        <v>73</v>
      </c>
      <c r="B7" s="22">
        <v>551.98306700000001</v>
      </c>
      <c r="C7" s="22">
        <v>510.94077699999997</v>
      </c>
      <c r="D7" s="22">
        <v>586.43130300000007</v>
      </c>
      <c r="E7" s="22">
        <v>592.35180200000002</v>
      </c>
      <c r="F7" s="22">
        <v>461.33720399999999</v>
      </c>
      <c r="G7" s="22">
        <v>426.48954600000002</v>
      </c>
      <c r="H7" s="22">
        <v>452.995452</v>
      </c>
      <c r="I7" s="22">
        <v>459.18405200000001</v>
      </c>
      <c r="J7" s="22">
        <v>512.82235400000002</v>
      </c>
      <c r="K7" s="22">
        <v>523.17096300000003</v>
      </c>
      <c r="L7" s="22">
        <v>592.46657200000004</v>
      </c>
      <c r="M7" s="22">
        <v>716.66838200000007</v>
      </c>
      <c r="N7" s="22">
        <v>985.26958100000002</v>
      </c>
      <c r="O7" s="22">
        <v>1189.972542</v>
      </c>
      <c r="P7" s="22">
        <v>1361.6434369999999</v>
      </c>
      <c r="Q7" s="22">
        <v>1382.498</v>
      </c>
    </row>
    <row r="8" spans="1:18" x14ac:dyDescent="0.25">
      <c r="A8" s="16" t="s">
        <v>74</v>
      </c>
      <c r="B8" s="24">
        <v>109.42226602759173</v>
      </c>
      <c r="C8" s="24">
        <v>97.266131882834642</v>
      </c>
      <c r="D8" s="24">
        <v>101.33081009831427</v>
      </c>
      <c r="E8" s="24">
        <v>92.272137630806085</v>
      </c>
      <c r="F8" s="24">
        <v>92.474226292835468</v>
      </c>
      <c r="G8" s="24">
        <v>84.60246760655653</v>
      </c>
      <c r="H8" s="24">
        <v>88.395710869079537</v>
      </c>
      <c r="I8" s="24">
        <v>90.000000696888321</v>
      </c>
      <c r="J8" s="24">
        <v>89.999996373013019</v>
      </c>
      <c r="K8" s="24">
        <v>90.000002542190018</v>
      </c>
      <c r="L8" s="24">
        <v>90.000002565545586</v>
      </c>
      <c r="M8" s="24">
        <v>89.999996679077711</v>
      </c>
      <c r="N8" s="24">
        <v>90.000000720614963</v>
      </c>
      <c r="O8" s="24">
        <v>90.000001025233729</v>
      </c>
      <c r="P8" s="24">
        <v>90.000000492052465</v>
      </c>
      <c r="Q8" s="24">
        <v>90.000000492052465</v>
      </c>
    </row>
    <row r="9" spans="1:18" x14ac:dyDescent="0.25">
      <c r="A9" s="16" t="s">
        <v>255</v>
      </c>
      <c r="B9" s="23">
        <v>60.399237999999997</v>
      </c>
      <c r="C9" s="23">
        <v>49.697233000000004</v>
      </c>
      <c r="D9" s="25">
        <v>59.423559000000004</v>
      </c>
      <c r="E9" s="25">
        <v>54.657567</v>
      </c>
      <c r="F9" s="25">
        <v>42.661800999999997</v>
      </c>
      <c r="G9" s="25">
        <v>36.082068</v>
      </c>
      <c r="H9" s="25">
        <v>40.042854999999996</v>
      </c>
      <c r="I9" s="25">
        <v>41.326565000000002</v>
      </c>
      <c r="J9" s="25">
        <v>46.15401</v>
      </c>
      <c r="K9" s="25">
        <v>47.085388000000009</v>
      </c>
      <c r="L9" s="25">
        <v>53.321993000000006</v>
      </c>
      <c r="M9" s="25">
        <v>64.500152</v>
      </c>
      <c r="N9" s="25">
        <v>88.674262999999996</v>
      </c>
      <c r="O9" s="25">
        <v>107.09753000000001</v>
      </c>
      <c r="P9" s="25">
        <v>122.54791</v>
      </c>
      <c r="Q9" s="25">
        <v>124.42478599999998</v>
      </c>
    </row>
    <row r="10" spans="1:18" x14ac:dyDescent="0.25">
      <c r="A10" s="16" t="s">
        <v>256</v>
      </c>
      <c r="B10" s="23">
        <v>15.811135</v>
      </c>
      <c r="C10" s="23">
        <v>14.977969</v>
      </c>
      <c r="D10" s="23">
        <v>14.054247</v>
      </c>
      <c r="E10" s="23">
        <v>15.415285000000001</v>
      </c>
      <c r="F10" s="23">
        <v>24.681317999999997</v>
      </c>
      <c r="G10" s="23">
        <v>35.935123000000004</v>
      </c>
      <c r="H10" s="23">
        <v>40.026778999999998</v>
      </c>
      <c r="I10" s="23">
        <v>41.119931000000001</v>
      </c>
      <c r="J10" s="23">
        <v>45.92324</v>
      </c>
      <c r="K10" s="23">
        <v>46.670379000000004</v>
      </c>
      <c r="L10" s="23">
        <v>53.055382999999999</v>
      </c>
      <c r="M10" s="23">
        <v>64.177651999999995</v>
      </c>
      <c r="N10" s="23">
        <v>88.230891999999997</v>
      </c>
      <c r="O10" s="23">
        <v>106.56204200000001</v>
      </c>
      <c r="P10" s="23">
        <v>121.93517100000001</v>
      </c>
      <c r="Q10" s="23">
        <v>123.802662</v>
      </c>
    </row>
    <row r="11" spans="1:18" x14ac:dyDescent="0.25">
      <c r="A11" s="16" t="s">
        <v>75</v>
      </c>
      <c r="B11" s="25">
        <v>14.925233999999998</v>
      </c>
      <c r="C11" s="25">
        <v>14.249416999999999</v>
      </c>
      <c r="D11" s="25">
        <v>13.1837</v>
      </c>
      <c r="E11" s="25">
        <v>14.615098</v>
      </c>
      <c r="F11" s="25">
        <v>24.036282999999997</v>
      </c>
      <c r="G11" s="25">
        <v>34.689571000000001</v>
      </c>
      <c r="H11" s="25">
        <v>39.058188000000001</v>
      </c>
      <c r="I11" s="25">
        <v>39.191811000000001</v>
      </c>
      <c r="J11" s="25">
        <v>43.744779999999999</v>
      </c>
      <c r="K11" s="25">
        <v>44.537475999999998</v>
      </c>
      <c r="L11" s="25">
        <f>L12+L13</f>
        <v>50.578237000000001</v>
      </c>
      <c r="M11" s="25">
        <v>61.304652000000004</v>
      </c>
      <c r="N11" s="25">
        <f>N12+N13</f>
        <v>84.692678999999998</v>
      </c>
      <c r="O11" s="25">
        <f t="shared" ref="O11:Q11" si="0">O12+O13</f>
        <v>102.15807700000001</v>
      </c>
      <c r="P11" s="25">
        <f t="shared" si="0"/>
        <v>116.804765</v>
      </c>
      <c r="Q11" s="25">
        <f t="shared" si="0"/>
        <v>118.583764</v>
      </c>
    </row>
    <row r="12" spans="1:18" ht="15.75" x14ac:dyDescent="0.25">
      <c r="A12" s="17" t="s">
        <v>85</v>
      </c>
      <c r="B12" s="25">
        <v>0</v>
      </c>
      <c r="C12" s="25">
        <v>0</v>
      </c>
      <c r="D12" s="25">
        <v>0</v>
      </c>
      <c r="E12" s="25">
        <v>0</v>
      </c>
      <c r="F12" s="25">
        <v>9.3461339999999993</v>
      </c>
      <c r="G12" s="25">
        <v>19.552312999999998</v>
      </c>
      <c r="H12" s="25">
        <v>20.113777999999996</v>
      </c>
      <c r="I12" s="25">
        <v>20.210771000000001</v>
      </c>
      <c r="J12" s="25">
        <v>24.583739999999999</v>
      </c>
      <c r="K12" s="25">
        <v>25.376435999999998</v>
      </c>
      <c r="L12" s="25">
        <v>31.417197000000002</v>
      </c>
      <c r="M12" s="25">
        <v>42.143612000000005</v>
      </c>
      <c r="N12" s="25">
        <v>65.531638999999998</v>
      </c>
      <c r="O12" s="25">
        <v>82.997037000000006</v>
      </c>
      <c r="P12" s="25">
        <v>97.643725000000003</v>
      </c>
      <c r="Q12" s="25">
        <v>99.422724000000002</v>
      </c>
    </row>
    <row r="13" spans="1:18" x14ac:dyDescent="0.25">
      <c r="A13" s="16" t="s">
        <v>86</v>
      </c>
      <c r="B13" s="25">
        <v>14.925233999999998</v>
      </c>
      <c r="C13" s="25">
        <v>14.249416999999999</v>
      </c>
      <c r="D13" s="25">
        <v>13.1837</v>
      </c>
      <c r="E13" s="25">
        <v>14.615098</v>
      </c>
      <c r="F13" s="25">
        <v>14.690149</v>
      </c>
      <c r="G13" s="25">
        <v>15.137258000000001</v>
      </c>
      <c r="H13" s="25">
        <v>18.944409999999998</v>
      </c>
      <c r="I13" s="25">
        <v>18.98104</v>
      </c>
      <c r="J13" s="25">
        <v>19.16104</v>
      </c>
      <c r="K13" s="25">
        <v>19.16104</v>
      </c>
      <c r="L13" s="25">
        <v>19.16104</v>
      </c>
      <c r="M13" s="25">
        <v>19.16104</v>
      </c>
      <c r="N13" s="25">
        <f>N14+N15+N17</f>
        <v>19.16104</v>
      </c>
      <c r="O13" s="25">
        <f t="shared" ref="O13:Q13" si="1">O14+O15+O17</f>
        <v>19.16104</v>
      </c>
      <c r="P13" s="25">
        <f t="shared" si="1"/>
        <v>19.16104</v>
      </c>
      <c r="Q13" s="25">
        <f t="shared" si="1"/>
        <v>19.16104</v>
      </c>
    </row>
    <row r="14" spans="1:18" x14ac:dyDescent="0.25">
      <c r="A14" s="18" t="s">
        <v>76</v>
      </c>
      <c r="B14" s="23">
        <v>1.1355120000000001</v>
      </c>
      <c r="C14" s="23">
        <v>0.34766000000000002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</row>
    <row r="15" spans="1:18" x14ac:dyDescent="0.25">
      <c r="A15" s="18" t="s">
        <v>77</v>
      </c>
      <c r="B15" s="23">
        <v>12.792604999999998</v>
      </c>
      <c r="C15" s="23">
        <v>13.269589</v>
      </c>
      <c r="D15" s="25">
        <v>12.684494000000001</v>
      </c>
      <c r="E15" s="25">
        <v>14.115777999999999</v>
      </c>
      <c r="F15" s="25">
        <v>14.191238999999999</v>
      </c>
      <c r="G15" s="25">
        <v>13.919363000000001</v>
      </c>
      <c r="H15" s="25">
        <v>17.192267999999999</v>
      </c>
      <c r="I15" s="25">
        <v>16.975000000000001</v>
      </c>
      <c r="J15" s="25">
        <v>17.155000000000001</v>
      </c>
      <c r="K15" s="25">
        <v>17.155000000000001</v>
      </c>
      <c r="L15" s="25">
        <v>17.155000000000001</v>
      </c>
      <c r="M15" s="25">
        <v>17.155000000000001</v>
      </c>
      <c r="N15" s="25">
        <v>17.155000000000001</v>
      </c>
      <c r="O15" s="25">
        <v>17.155000000000001</v>
      </c>
      <c r="P15" s="25">
        <v>17.155000000000001</v>
      </c>
      <c r="Q15" s="25">
        <v>17.155000000000001</v>
      </c>
    </row>
    <row r="16" spans="1:18" x14ac:dyDescent="0.25">
      <c r="A16" s="18" t="s">
        <v>87</v>
      </c>
      <c r="B16" s="26">
        <v>12.792604999999998</v>
      </c>
      <c r="C16" s="26">
        <v>13.269589</v>
      </c>
      <c r="D16" s="26">
        <v>12.684494000000001</v>
      </c>
      <c r="E16" s="26">
        <v>14.115777999999999</v>
      </c>
      <c r="F16" s="26">
        <v>14.191238999999999</v>
      </c>
      <c r="G16" s="26">
        <v>13.919363000000001</v>
      </c>
      <c r="H16" s="26">
        <v>17.192267999999999</v>
      </c>
      <c r="I16" s="26">
        <v>16.975000000000001</v>
      </c>
      <c r="J16" s="26">
        <v>17.155000000000001</v>
      </c>
      <c r="K16" s="26">
        <v>17.155000000000001</v>
      </c>
      <c r="L16" s="26">
        <v>17.155000000000001</v>
      </c>
      <c r="M16" s="26">
        <v>17.155000000000001</v>
      </c>
      <c r="N16" s="26">
        <v>17.155000000000001</v>
      </c>
      <c r="O16" s="26">
        <v>17.155000000000001</v>
      </c>
      <c r="P16" s="26">
        <v>17.155000000000001</v>
      </c>
      <c r="Q16" s="26">
        <v>17.155000000000001</v>
      </c>
      <c r="R16" s="82"/>
    </row>
    <row r="17" spans="1:18" x14ac:dyDescent="0.25">
      <c r="A17" s="18" t="s">
        <v>88</v>
      </c>
      <c r="B17" s="23">
        <v>0.99711700000000003</v>
      </c>
      <c r="C17" s="23">
        <v>0.63216799999999995</v>
      </c>
      <c r="D17" s="23">
        <v>0.49920599999999993</v>
      </c>
      <c r="E17" s="23">
        <v>0.49931999999999999</v>
      </c>
      <c r="F17" s="23">
        <v>0.49891000000000002</v>
      </c>
      <c r="G17" s="23">
        <v>1.2178949999999999</v>
      </c>
      <c r="H17" s="23">
        <v>1.7521420000000001</v>
      </c>
      <c r="I17" s="23">
        <v>2.00604</v>
      </c>
      <c r="J17" s="23">
        <v>2.00604</v>
      </c>
      <c r="K17" s="23">
        <v>2.00604</v>
      </c>
      <c r="L17" s="23">
        <v>2.00604</v>
      </c>
      <c r="M17" s="23">
        <v>2.00604</v>
      </c>
      <c r="N17" s="23">
        <v>2.00604</v>
      </c>
      <c r="O17" s="23">
        <v>2.00604</v>
      </c>
      <c r="P17" s="23">
        <v>2.00604</v>
      </c>
      <c r="Q17" s="23">
        <v>2.00604</v>
      </c>
      <c r="R17" s="82"/>
    </row>
    <row r="18" spans="1:18" x14ac:dyDescent="0.25">
      <c r="A18" s="16" t="s">
        <v>78</v>
      </c>
      <c r="B18" s="25">
        <v>45.474004000000001</v>
      </c>
      <c r="C18" s="25">
        <v>35.447815999999996</v>
      </c>
      <c r="D18" s="25">
        <v>46.23985900000001</v>
      </c>
      <c r="E18" s="25">
        <v>40.042469000000004</v>
      </c>
      <c r="F18" s="25">
        <v>18.625518</v>
      </c>
      <c r="G18" s="25">
        <v>1.3924970000000001</v>
      </c>
      <c r="H18" s="25">
        <v>0.9846669999999994</v>
      </c>
      <c r="I18" s="25">
        <v>2.1347540000000009</v>
      </c>
      <c r="J18" s="25">
        <v>2.40923</v>
      </c>
      <c r="K18" s="25">
        <v>2.5479120000000011</v>
      </c>
      <c r="L18" s="25">
        <v>2.7437559999999994</v>
      </c>
      <c r="M18" s="25">
        <v>3.1955</v>
      </c>
      <c r="N18" s="25">
        <v>3.981584000000006</v>
      </c>
      <c r="O18" s="25">
        <v>4.9394529999999941</v>
      </c>
      <c r="P18" s="25">
        <v>5.7431449999999975</v>
      </c>
      <c r="Q18" s="25">
        <v>5.8410219999999917</v>
      </c>
      <c r="R18" s="82"/>
    </row>
    <row r="19" spans="1:18" x14ac:dyDescent="0.25">
      <c r="A19" s="18" t="s">
        <v>259</v>
      </c>
      <c r="B19" s="23">
        <v>44.588103000000004</v>
      </c>
      <c r="C19" s="23">
        <v>34.719263999999995</v>
      </c>
      <c r="D19" s="23">
        <v>45.369312000000008</v>
      </c>
      <c r="E19" s="23">
        <v>39.242282000000003</v>
      </c>
      <c r="F19" s="23">
        <v>17.980483</v>
      </c>
      <c r="G19" s="23">
        <v>0.14694499999999999</v>
      </c>
      <c r="H19" s="23">
        <v>1.6075999999999389E-2</v>
      </c>
      <c r="I19" s="23">
        <v>0.20663400000000065</v>
      </c>
      <c r="J19" s="23">
        <v>0.2307699999999997</v>
      </c>
      <c r="K19" s="23">
        <v>0.41500900000000129</v>
      </c>
      <c r="L19" s="23">
        <v>0.26660999999999946</v>
      </c>
      <c r="M19" s="23">
        <v>0.3224999999999999</v>
      </c>
      <c r="N19" s="23">
        <v>0.44337100000000618</v>
      </c>
      <c r="O19" s="23">
        <v>0.53548799999999375</v>
      </c>
      <c r="P19" s="23">
        <v>0.6127389999999977</v>
      </c>
      <c r="Q19" s="23">
        <v>0.62212399999999235</v>
      </c>
      <c r="R19" s="82"/>
    </row>
    <row r="20" spans="1:18" x14ac:dyDescent="0.25">
      <c r="A20" s="16" t="s">
        <v>254</v>
      </c>
      <c r="B20" s="23">
        <v>26.2</v>
      </c>
      <c r="C20" s="23">
        <v>30.1</v>
      </c>
      <c r="D20" s="23">
        <v>23.7</v>
      </c>
      <c r="E20" s="23">
        <v>28.2</v>
      </c>
      <c r="F20" s="23">
        <v>57.9</v>
      </c>
      <c r="G20" s="23">
        <v>99.6</v>
      </c>
      <c r="H20" s="23">
        <v>100</v>
      </c>
      <c r="I20" s="23">
        <v>99.5</v>
      </c>
      <c r="J20" s="23">
        <v>99.5</v>
      </c>
      <c r="K20" s="23">
        <v>99.5</v>
      </c>
      <c r="L20" s="23">
        <v>99.5</v>
      </c>
      <c r="M20" s="23">
        <v>99.5</v>
      </c>
      <c r="N20" s="23">
        <v>99.5</v>
      </c>
      <c r="O20" s="23">
        <v>99.5</v>
      </c>
      <c r="P20" s="23">
        <v>99.500000448804059</v>
      </c>
      <c r="Q20" s="23">
        <v>99.501707138004861</v>
      </c>
      <c r="R20" s="82"/>
    </row>
    <row r="21" spans="1:18" ht="30" customHeight="1" x14ac:dyDescent="0.25">
      <c r="C21" s="100"/>
      <c r="L21" s="101"/>
      <c r="R21" s="82"/>
    </row>
    <row r="22" spans="1:18" x14ac:dyDescent="0.25">
      <c r="A22" t="s">
        <v>257</v>
      </c>
      <c r="E22" t="s">
        <v>258</v>
      </c>
      <c r="L22" s="101"/>
      <c r="R22" s="82"/>
    </row>
    <row r="23" spans="1:18" x14ac:dyDescent="0.25">
      <c r="A23" s="14"/>
      <c r="B23" s="19" t="s">
        <v>58</v>
      </c>
      <c r="C23" s="19" t="s">
        <v>59</v>
      </c>
      <c r="D23" s="19" t="s">
        <v>60</v>
      </c>
      <c r="E23" s="19" t="s">
        <v>61</v>
      </c>
      <c r="F23" s="19" t="s">
        <v>62</v>
      </c>
      <c r="G23" s="19" t="s">
        <v>63</v>
      </c>
      <c r="H23" s="19" t="s">
        <v>64</v>
      </c>
      <c r="I23" s="19" t="s">
        <v>65</v>
      </c>
      <c r="J23" s="19" t="s">
        <v>66</v>
      </c>
      <c r="K23" s="19" t="s">
        <v>67</v>
      </c>
      <c r="L23" s="19" t="s">
        <v>68</v>
      </c>
      <c r="M23" s="19" t="s">
        <v>69</v>
      </c>
      <c r="N23" s="19" t="s">
        <v>70</v>
      </c>
      <c r="O23" s="19" t="s">
        <v>71</v>
      </c>
      <c r="P23" s="19" t="s">
        <v>72</v>
      </c>
      <c r="Q23" s="14"/>
      <c r="R23" s="82"/>
    </row>
    <row r="24" spans="1:18" x14ac:dyDescent="0.25">
      <c r="A24" s="14" t="s">
        <v>81</v>
      </c>
      <c r="B24" s="14">
        <f t="shared" ref="B24:Q24" si="2">B9</f>
        <v>60.399237999999997</v>
      </c>
      <c r="C24" s="14">
        <f t="shared" si="2"/>
        <v>49.697233000000004</v>
      </c>
      <c r="D24" s="14">
        <f t="shared" si="2"/>
        <v>59.423559000000004</v>
      </c>
      <c r="E24" s="14">
        <f t="shared" si="2"/>
        <v>54.657567</v>
      </c>
      <c r="F24" s="14">
        <f t="shared" si="2"/>
        <v>42.661800999999997</v>
      </c>
      <c r="G24" s="14">
        <f t="shared" si="2"/>
        <v>36.082068</v>
      </c>
      <c r="H24" s="14">
        <f t="shared" si="2"/>
        <v>40.042854999999996</v>
      </c>
      <c r="I24" s="14">
        <f t="shared" si="2"/>
        <v>41.326565000000002</v>
      </c>
      <c r="J24" s="14">
        <f t="shared" si="2"/>
        <v>46.15401</v>
      </c>
      <c r="K24" s="14">
        <f t="shared" si="2"/>
        <v>47.085388000000009</v>
      </c>
      <c r="L24" s="14">
        <f t="shared" si="2"/>
        <v>53.321993000000006</v>
      </c>
      <c r="M24" s="14">
        <f t="shared" si="2"/>
        <v>64.500152</v>
      </c>
      <c r="N24" s="14">
        <f t="shared" si="2"/>
        <v>88.674262999999996</v>
      </c>
      <c r="O24" s="14">
        <f t="shared" si="2"/>
        <v>107.09753000000001</v>
      </c>
      <c r="P24" s="14">
        <f t="shared" si="2"/>
        <v>122.54791</v>
      </c>
      <c r="Q24" s="14">
        <f t="shared" si="2"/>
        <v>124.42478599999998</v>
      </c>
      <c r="R24" s="82"/>
    </row>
    <row r="25" spans="1:18" x14ac:dyDescent="0.25">
      <c r="A25" s="14" t="s">
        <v>79</v>
      </c>
      <c r="B25" s="14">
        <f t="shared" ref="B25:Q25" si="3">B10</f>
        <v>15.811135</v>
      </c>
      <c r="C25" s="14">
        <f t="shared" si="3"/>
        <v>14.977969</v>
      </c>
      <c r="D25" s="14">
        <f t="shared" si="3"/>
        <v>14.054247</v>
      </c>
      <c r="E25" s="14">
        <f t="shared" si="3"/>
        <v>15.415285000000001</v>
      </c>
      <c r="F25" s="14">
        <f t="shared" si="3"/>
        <v>24.681317999999997</v>
      </c>
      <c r="G25" s="14">
        <f t="shared" si="3"/>
        <v>35.935123000000004</v>
      </c>
      <c r="H25" s="14">
        <f t="shared" si="3"/>
        <v>40.026778999999998</v>
      </c>
      <c r="I25" s="14">
        <f t="shared" si="3"/>
        <v>41.119931000000001</v>
      </c>
      <c r="J25" s="14">
        <f t="shared" si="3"/>
        <v>45.92324</v>
      </c>
      <c r="K25" s="14">
        <f t="shared" si="3"/>
        <v>46.670379000000004</v>
      </c>
      <c r="L25" s="14">
        <f t="shared" si="3"/>
        <v>53.055382999999999</v>
      </c>
      <c r="M25" s="14">
        <f t="shared" si="3"/>
        <v>64.177651999999995</v>
      </c>
      <c r="N25" s="14">
        <f t="shared" si="3"/>
        <v>88.230891999999997</v>
      </c>
      <c r="O25" s="14">
        <f t="shared" si="3"/>
        <v>106.56204200000001</v>
      </c>
      <c r="P25" s="14">
        <f t="shared" si="3"/>
        <v>121.93517100000001</v>
      </c>
      <c r="Q25" s="14">
        <f t="shared" si="3"/>
        <v>123.802662</v>
      </c>
    </row>
    <row r="26" spans="1:18" x14ac:dyDescent="0.25">
      <c r="A26" s="14" t="s">
        <v>80</v>
      </c>
      <c r="B26" s="14">
        <f t="shared" ref="B26:Q26" si="4">B19</f>
        <v>44.588103000000004</v>
      </c>
      <c r="C26" s="14">
        <f t="shared" si="4"/>
        <v>34.719263999999995</v>
      </c>
      <c r="D26" s="14">
        <f t="shared" si="4"/>
        <v>45.369312000000008</v>
      </c>
      <c r="E26" s="14">
        <f t="shared" si="4"/>
        <v>39.242282000000003</v>
      </c>
      <c r="F26" s="14">
        <f t="shared" si="4"/>
        <v>17.980483</v>
      </c>
      <c r="G26" s="14">
        <f t="shared" si="4"/>
        <v>0.14694499999999999</v>
      </c>
      <c r="H26" s="14">
        <f t="shared" si="4"/>
        <v>1.6075999999999389E-2</v>
      </c>
      <c r="I26" s="14">
        <f t="shared" si="4"/>
        <v>0.20663400000000065</v>
      </c>
      <c r="J26" s="14">
        <f t="shared" si="4"/>
        <v>0.2307699999999997</v>
      </c>
      <c r="K26" s="14">
        <f t="shared" si="4"/>
        <v>0.41500900000000129</v>
      </c>
      <c r="L26" s="14">
        <f t="shared" si="4"/>
        <v>0.26660999999999946</v>
      </c>
      <c r="M26" s="14">
        <f t="shared" si="4"/>
        <v>0.3224999999999999</v>
      </c>
      <c r="N26" s="14">
        <f t="shared" si="4"/>
        <v>0.44337100000000618</v>
      </c>
      <c r="O26" s="14">
        <f t="shared" si="4"/>
        <v>0.53548799999999375</v>
      </c>
      <c r="P26" s="14">
        <f t="shared" si="4"/>
        <v>0.6127389999999977</v>
      </c>
      <c r="Q26" s="14">
        <f t="shared" si="4"/>
        <v>0.62212399999999235</v>
      </c>
    </row>
    <row r="27" spans="1:18" x14ac:dyDescent="0.25">
      <c r="A27" s="14" t="s">
        <v>82</v>
      </c>
      <c r="B27" s="14">
        <f>ROUND(B25/B24*100,1)</f>
        <v>26.2</v>
      </c>
      <c r="C27" s="14">
        <f t="shared" ref="C27:P27" si="5">ROUND(C25/C24*100,1)</f>
        <v>30.1</v>
      </c>
      <c r="D27" s="14">
        <f t="shared" si="5"/>
        <v>23.7</v>
      </c>
      <c r="E27" s="14">
        <f t="shared" si="5"/>
        <v>28.2</v>
      </c>
      <c r="F27" s="14">
        <f t="shared" si="5"/>
        <v>57.9</v>
      </c>
      <c r="G27" s="14">
        <f t="shared" si="5"/>
        <v>99.6</v>
      </c>
      <c r="H27" s="14">
        <f>ROUND(H25/H24*100,1)</f>
        <v>100</v>
      </c>
      <c r="I27" s="14">
        <f>ROUND(I25/I24*100,1)</f>
        <v>99.5</v>
      </c>
      <c r="J27" s="14">
        <f t="shared" si="5"/>
        <v>99.5</v>
      </c>
      <c r="K27" s="14">
        <f t="shared" si="5"/>
        <v>99.1</v>
      </c>
      <c r="L27" s="14">
        <f>ROUND(L25/L24*100,1)</f>
        <v>99.5</v>
      </c>
      <c r="M27" s="14">
        <f t="shared" si="5"/>
        <v>99.5</v>
      </c>
      <c r="N27" s="14">
        <f t="shared" si="5"/>
        <v>99.5</v>
      </c>
      <c r="O27" s="14">
        <f t="shared" si="5"/>
        <v>99.5</v>
      </c>
      <c r="P27" s="14">
        <f t="shared" si="5"/>
        <v>99.5</v>
      </c>
      <c r="Q27" s="14">
        <f t="shared" ref="Q27" si="6">ROUND(Q25/Q24*100,1)</f>
        <v>99.5</v>
      </c>
    </row>
    <row r="28" spans="1:18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8" x14ac:dyDescent="0.25">
      <c r="A29" s="14" t="s">
        <v>83</v>
      </c>
      <c r="B29" s="14"/>
      <c r="C29" s="14"/>
      <c r="D29" s="14"/>
      <c r="E29" s="14"/>
      <c r="F29" s="14"/>
      <c r="G29" s="14">
        <f>G27-95</f>
        <v>4.5999999999999943</v>
      </c>
      <c r="H29" s="14">
        <f>H27-95</f>
        <v>5</v>
      </c>
      <c r="I29" s="14">
        <f t="shared" ref="I29:Q29" si="7">I27-95</f>
        <v>4.5</v>
      </c>
      <c r="J29" s="14">
        <f t="shared" si="7"/>
        <v>4.5</v>
      </c>
      <c r="K29" s="14">
        <f t="shared" si="7"/>
        <v>4.0999999999999943</v>
      </c>
      <c r="L29" s="14">
        <f>L27-95</f>
        <v>4.5</v>
      </c>
      <c r="M29" s="14">
        <f>M27-95</f>
        <v>4.5</v>
      </c>
      <c r="N29" s="14">
        <f t="shared" si="7"/>
        <v>4.5</v>
      </c>
      <c r="O29" s="14">
        <f t="shared" si="7"/>
        <v>4.5</v>
      </c>
      <c r="P29" s="14">
        <f t="shared" si="7"/>
        <v>4.5</v>
      </c>
      <c r="Q29" s="14">
        <f t="shared" si="7"/>
        <v>4.5</v>
      </c>
    </row>
    <row r="30" spans="1:18" x14ac:dyDescent="0.25">
      <c r="A30" s="14" t="s">
        <v>129</v>
      </c>
      <c r="B30" s="20"/>
      <c r="C30" s="20"/>
      <c r="D30" s="20"/>
      <c r="E30" s="20"/>
      <c r="F30" s="20"/>
      <c r="G30" s="20">
        <f>G29*G24/100</f>
        <v>1.6597751279999979</v>
      </c>
      <c r="H30" s="20">
        <f>H29*H24/100</f>
        <v>2.00214275</v>
      </c>
      <c r="I30" s="20">
        <f>I29*I24/100</f>
        <v>1.8596954250000002</v>
      </c>
      <c r="J30" s="20">
        <f t="shared" ref="J30:Q30" si="8">J29*J24/100</f>
        <v>2.0769304499999999</v>
      </c>
      <c r="K30" s="20">
        <f t="shared" si="8"/>
        <v>1.9305009079999977</v>
      </c>
      <c r="L30" s="20">
        <f>L29*L24/100</f>
        <v>2.3994896850000003</v>
      </c>
      <c r="M30" s="20">
        <f>M29*M24/100</f>
        <v>2.9025068399999996</v>
      </c>
      <c r="N30" s="20">
        <f t="shared" si="8"/>
        <v>3.9903418349999997</v>
      </c>
      <c r="O30" s="20">
        <f t="shared" si="8"/>
        <v>4.8193888500000002</v>
      </c>
      <c r="P30" s="20">
        <f t="shared" si="8"/>
        <v>5.5146559499999999</v>
      </c>
      <c r="Q30" s="20">
        <f t="shared" si="8"/>
        <v>5.5991153699999998</v>
      </c>
    </row>
    <row r="32" spans="1:18" x14ac:dyDescent="0.25"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</row>
    <row r="33" spans="1:17" x14ac:dyDescent="0.25">
      <c r="A33" t="s">
        <v>261</v>
      </c>
      <c r="B33" s="82">
        <f t="shared" ref="B33:Q33" si="9">B9*0.05</f>
        <v>3.0199619000000002</v>
      </c>
      <c r="C33" s="82">
        <f t="shared" si="9"/>
        <v>2.4848616500000005</v>
      </c>
      <c r="D33" s="82">
        <f t="shared" si="9"/>
        <v>2.9711779500000004</v>
      </c>
      <c r="E33" s="82">
        <f t="shared" si="9"/>
        <v>2.73287835</v>
      </c>
      <c r="F33" s="82">
        <f t="shared" si="9"/>
        <v>2.1330900499999998</v>
      </c>
      <c r="G33" s="82">
        <f t="shared" si="9"/>
        <v>1.8041034</v>
      </c>
      <c r="H33" s="82">
        <f t="shared" si="9"/>
        <v>2.00214275</v>
      </c>
      <c r="I33" s="82">
        <f t="shared" si="9"/>
        <v>2.0663282500000002</v>
      </c>
      <c r="J33" s="82">
        <f t="shared" si="9"/>
        <v>2.3077005000000002</v>
      </c>
      <c r="K33" s="82">
        <f t="shared" si="9"/>
        <v>2.3542694000000006</v>
      </c>
      <c r="L33" s="82">
        <f t="shared" si="9"/>
        <v>2.6660996500000005</v>
      </c>
      <c r="M33" s="82">
        <f t="shared" si="9"/>
        <v>3.2250076000000001</v>
      </c>
      <c r="N33" s="82">
        <f t="shared" si="9"/>
        <v>4.43371315</v>
      </c>
      <c r="O33" s="82">
        <f t="shared" si="9"/>
        <v>5.3548765000000005</v>
      </c>
      <c r="P33" s="82">
        <f t="shared" si="9"/>
        <v>6.1273955000000004</v>
      </c>
      <c r="Q33" s="82">
        <f t="shared" si="9"/>
        <v>6.2212392999999997</v>
      </c>
    </row>
    <row r="34" spans="1:17" x14ac:dyDescent="0.25">
      <c r="A34" t="s">
        <v>262</v>
      </c>
      <c r="B34" s="85">
        <f>B18-B33</f>
        <v>42.454042100000002</v>
      </c>
      <c r="C34" s="85">
        <f>C18-C33</f>
        <v>32.962954349999997</v>
      </c>
      <c r="D34" s="85">
        <f>D18-D33</f>
        <v>43.268681050000012</v>
      </c>
      <c r="E34" s="85">
        <f>E18-E33</f>
        <v>37.309590650000004</v>
      </c>
      <c r="F34" s="85">
        <f t="shared" ref="F34:Q34" si="10">F18-F33+F12</f>
        <v>25.838561949999999</v>
      </c>
      <c r="G34" s="85">
        <f t="shared" si="10"/>
        <v>19.140706599999998</v>
      </c>
      <c r="H34" s="85">
        <f t="shared" si="10"/>
        <v>19.096302249999997</v>
      </c>
      <c r="I34" s="85">
        <f t="shared" si="10"/>
        <v>20.279196750000001</v>
      </c>
      <c r="J34" s="85">
        <f t="shared" si="10"/>
        <v>24.685269499999997</v>
      </c>
      <c r="K34" s="85">
        <f t="shared" si="10"/>
        <v>25.570078599999999</v>
      </c>
      <c r="L34" s="85">
        <f t="shared" si="10"/>
        <v>31.49485335</v>
      </c>
      <c r="M34" s="85">
        <f t="shared" si="10"/>
        <v>42.114104400000002</v>
      </c>
      <c r="N34" s="85">
        <f t="shared" si="10"/>
        <v>65.079509850000008</v>
      </c>
      <c r="O34" s="85">
        <f t="shared" si="10"/>
        <v>82.581613500000003</v>
      </c>
      <c r="P34" s="85">
        <f t="shared" si="10"/>
        <v>97.259474499999996</v>
      </c>
      <c r="Q34" s="85">
        <f t="shared" si="10"/>
        <v>99.04250669999999</v>
      </c>
    </row>
    <row r="35" spans="1:17" x14ac:dyDescent="0.25">
      <c r="B35" s="85"/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</row>
    <row r="36" spans="1:17" x14ac:dyDescent="0.25">
      <c r="G36" s="83"/>
    </row>
    <row r="37" spans="1:17" x14ac:dyDescent="0.25"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</row>
    <row r="38" spans="1:17" x14ac:dyDescent="0.25"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</row>
    <row r="40" spans="1:17" x14ac:dyDescent="0.25"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</row>
    <row r="41" spans="1:17" x14ac:dyDescent="0.25"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</row>
    <row r="50" spans="2:17" x14ac:dyDescent="0.25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</row>
    <row r="51" spans="2:17" x14ac:dyDescent="0.25"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</row>
    <row r="52" spans="2:17" x14ac:dyDescent="0.25"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</row>
    <row r="53" spans="2:17" x14ac:dyDescent="0.25"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</row>
    <row r="54" spans="2:17" x14ac:dyDescent="0.25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</row>
    <row r="55" spans="2:17" x14ac:dyDescent="0.25"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</row>
    <row r="56" spans="2:17" x14ac:dyDescent="0.25"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</row>
    <row r="57" spans="2:17" x14ac:dyDescent="0.25"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</row>
    <row r="58" spans="2:17" x14ac:dyDescent="0.25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</row>
    <row r="59" spans="2:17" x14ac:dyDescent="0.25"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</row>
    <row r="60" spans="2:17" x14ac:dyDescent="0.25"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</row>
    <row r="61" spans="2:17" x14ac:dyDescent="0.25"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</row>
    <row r="62" spans="2:17" x14ac:dyDescent="0.25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</row>
    <row r="63" spans="2:17" x14ac:dyDescent="0.25"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</row>
    <row r="64" spans="2:17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</row>
    <row r="65" spans="2:17" x14ac:dyDescent="0.25"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</row>
    <row r="66" spans="2:17" x14ac:dyDescent="0.25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</row>
    <row r="67" spans="2:17" x14ac:dyDescent="0.25"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</row>
    <row r="68" spans="2:17" x14ac:dyDescent="0.25"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</row>
    <row r="69" spans="2:17" x14ac:dyDescent="0.25"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</row>
  </sheetData>
  <conditionalFormatting sqref="A8:A11 B8:Q20 A13:A20 C24:Q27 A24:B28">
    <cfRule type="cellIs" dxfId="6" priority="55" stopIfTrue="1" operator="lessThan">
      <formula>-0.0004</formula>
    </cfRule>
  </conditionalFormatting>
  <conditionalFormatting sqref="A23:P23">
    <cfRule type="cellIs" dxfId="5" priority="10" stopIfTrue="1" operator="lessThan">
      <formula>-0.0004</formula>
    </cfRule>
  </conditionalFormatting>
  <conditionalFormatting sqref="A6:Q6">
    <cfRule type="cellIs" dxfId="4" priority="14" stopIfTrue="1" operator="lessThan">
      <formula>-0.0004</formula>
    </cfRule>
  </conditionalFormatting>
  <conditionalFormatting sqref="A7:Q7">
    <cfRule type="cellIs" dxfId="3" priority="4" stopIfTrue="1" operator="lessThan">
      <formula>-0.00049</formula>
    </cfRule>
  </conditionalFormatting>
  <conditionalFormatting sqref="A29:Q30">
    <cfRule type="cellIs" dxfId="2" priority="7" stopIfTrue="1" operator="lessThan">
      <formula>-0.0004</formula>
    </cfRule>
  </conditionalFormatting>
  <conditionalFormatting sqref="C28:P28">
    <cfRule type="cellIs" dxfId="1" priority="8" stopIfTrue="1" operator="lessThan">
      <formula>-0.0004</formula>
    </cfRule>
  </conditionalFormatting>
  <conditionalFormatting sqref="Q23:Q30">
    <cfRule type="cellIs" dxfId="0" priority="9" stopIfTrue="1" operator="lessThan">
      <formula>-0.0004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view="pageBreakPreview" zoomScale="84" zoomScaleNormal="100" zoomScaleSheetLayoutView="84" workbookViewId="0">
      <selection activeCell="W26" sqref="W26"/>
    </sheetView>
  </sheetViews>
  <sheetFormatPr defaultRowHeight="15" x14ac:dyDescent="0.25"/>
  <cols>
    <col min="11" max="11" width="11" bestFit="1" customWidth="1"/>
  </cols>
  <sheetData>
    <row r="1" spans="1:2" x14ac:dyDescent="0.25">
      <c r="A1" t="s">
        <v>135</v>
      </c>
    </row>
    <row r="2" spans="1:2" x14ac:dyDescent="0.25">
      <c r="A2" s="12" t="s">
        <v>278</v>
      </c>
    </row>
    <row r="3" spans="1:2" x14ac:dyDescent="0.25">
      <c r="A3" s="12"/>
    </row>
    <row r="4" spans="1:2" x14ac:dyDescent="0.25">
      <c r="A4" s="2" t="s">
        <v>50</v>
      </c>
    </row>
    <row r="5" spans="1:2" x14ac:dyDescent="0.25">
      <c r="A5" s="13" t="s">
        <v>51</v>
      </c>
    </row>
    <row r="6" spans="1:2" x14ac:dyDescent="0.25">
      <c r="A6" s="2"/>
    </row>
    <row r="7" spans="1:2" x14ac:dyDescent="0.25">
      <c r="A7" s="2"/>
    </row>
    <row r="8" spans="1:2" x14ac:dyDescent="0.25">
      <c r="A8" s="2"/>
    </row>
    <row r="9" spans="1:2" x14ac:dyDescent="0.25">
      <c r="A9" s="2"/>
    </row>
    <row r="10" spans="1:2" x14ac:dyDescent="0.25">
      <c r="A10" s="2"/>
    </row>
    <row r="11" spans="1:2" x14ac:dyDescent="0.25">
      <c r="A11" s="2"/>
    </row>
    <row r="12" spans="1:2" x14ac:dyDescent="0.25">
      <c r="A12" s="2"/>
    </row>
    <row r="13" spans="1:2" x14ac:dyDescent="0.25">
      <c r="A13" s="2"/>
    </row>
    <row r="14" spans="1:2" x14ac:dyDescent="0.25">
      <c r="A14" s="2"/>
    </row>
    <row r="15" spans="1:2" x14ac:dyDescent="0.25">
      <c r="A15" s="2"/>
    </row>
    <row r="16" spans="1:2" x14ac:dyDescent="0.25">
      <c r="A16" s="2" t="s">
        <v>52</v>
      </c>
      <c r="B16" t="s">
        <v>113</v>
      </c>
    </row>
    <row r="17" spans="1:20" x14ac:dyDescent="0.25">
      <c r="A17" t="s">
        <v>53</v>
      </c>
      <c r="B17">
        <f>ROUND(5/SQRT(3),2)</f>
        <v>2.89</v>
      </c>
      <c r="C17" t="s">
        <v>57</v>
      </c>
    </row>
    <row r="18" spans="1:20" x14ac:dyDescent="0.25">
      <c r="A18" s="2" t="s">
        <v>54</v>
      </c>
      <c r="B18" t="s">
        <v>49</v>
      </c>
    </row>
    <row r="19" spans="1:20" x14ac:dyDescent="0.25">
      <c r="A19" t="s">
        <v>55</v>
      </c>
      <c r="B19">
        <f>ROUND('Пр 2. Лист 4. Состав ПНГ'!M61,2)</f>
        <v>2.74</v>
      </c>
      <c r="C19" t="s">
        <v>57</v>
      </c>
    </row>
    <row r="21" spans="1:20" x14ac:dyDescent="0.25">
      <c r="A21" s="38" t="s">
        <v>56</v>
      </c>
    </row>
    <row r="22" spans="1:20" x14ac:dyDescent="0.25">
      <c r="B22" t="str">
        <f>CONCATENATE("c=",ROUND(SQRT(B19*B19+B17*B17),2))</f>
        <v>c=3.98</v>
      </c>
      <c r="C22" t="s">
        <v>57</v>
      </c>
    </row>
    <row r="24" spans="1:20" x14ac:dyDescent="0.25">
      <c r="A24" s="13" t="s">
        <v>111</v>
      </c>
    </row>
    <row r="32" spans="1:20" ht="54.75" customHeight="1" x14ac:dyDescent="0.25">
      <c r="A32" s="37" t="s">
        <v>52</v>
      </c>
      <c r="B32" s="106" t="s">
        <v>112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</row>
    <row r="33" spans="1:20" x14ac:dyDescent="0.25">
      <c r="A33" t="s">
        <v>53</v>
      </c>
      <c r="B33">
        <v>5</v>
      </c>
    </row>
    <row r="34" spans="1:20" ht="48" customHeight="1" x14ac:dyDescent="0.25">
      <c r="A34" s="2" t="s">
        <v>54</v>
      </c>
      <c r="B34" s="106" t="s">
        <v>114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</row>
    <row r="35" spans="1:20" x14ac:dyDescent="0.25">
      <c r="A35" t="s">
        <v>55</v>
      </c>
      <c r="B35">
        <v>18</v>
      </c>
    </row>
    <row r="37" spans="1:20" x14ac:dyDescent="0.25">
      <c r="A37" s="38" t="s">
        <v>115</v>
      </c>
    </row>
    <row r="38" spans="1:20" x14ac:dyDescent="0.25">
      <c r="B38" t="str">
        <f>CONCATENATE("c=",ROUND(SQRT(B35*B35+B33*B33),2))</f>
        <v>c=18.68</v>
      </c>
      <c r="C38" t="s">
        <v>57</v>
      </c>
    </row>
    <row r="40" spans="1:20" x14ac:dyDescent="0.25">
      <c r="A40" t="s">
        <v>116</v>
      </c>
    </row>
    <row r="46" spans="1:20" x14ac:dyDescent="0.25">
      <c r="A46" s="41"/>
      <c r="B46" s="42"/>
      <c r="C46" s="43"/>
      <c r="D46" s="39" t="s">
        <v>118</v>
      </c>
      <c r="E46" s="40"/>
      <c r="F46" s="44" t="s">
        <v>119</v>
      </c>
      <c r="G46" s="45"/>
      <c r="H46" s="46"/>
      <c r="I46" s="46"/>
    </row>
    <row r="47" spans="1:20" x14ac:dyDescent="0.25">
      <c r="A47" s="41" t="s">
        <v>117</v>
      </c>
      <c r="B47" s="42"/>
      <c r="C47" s="43"/>
      <c r="D47" s="39">
        <f>'Пр 2. Лист 1. БЛ по М0014'!G99</f>
        <v>82786</v>
      </c>
      <c r="E47" s="40" t="s">
        <v>121</v>
      </c>
      <c r="F47" s="44">
        <f>ROUND(SQRT(B19*B19+B17*B17),2)</f>
        <v>3.98</v>
      </c>
      <c r="G47" s="45" t="s">
        <v>122</v>
      </c>
      <c r="H47" s="46"/>
      <c r="I47" s="46"/>
    </row>
    <row r="48" spans="1:20" x14ac:dyDescent="0.25">
      <c r="A48" s="41" t="s">
        <v>120</v>
      </c>
      <c r="B48" s="42"/>
      <c r="C48" s="43"/>
      <c r="D48" s="39">
        <f>'Пр. 2 Лист 2. ПЛ по М0014'!I84</f>
        <v>650</v>
      </c>
      <c r="E48" s="40" t="s">
        <v>123</v>
      </c>
      <c r="F48" s="44">
        <f>ROUND(SQRT(B35*B35+B33*B33),2)</f>
        <v>18.68</v>
      </c>
      <c r="G48" s="45" t="s">
        <v>124</v>
      </c>
      <c r="H48" s="46"/>
      <c r="I48" s="46"/>
    </row>
    <row r="49" spans="1:9" x14ac:dyDescent="0.25">
      <c r="A49" s="41" t="s">
        <v>125</v>
      </c>
      <c r="B49" s="42"/>
      <c r="C49" s="43"/>
      <c r="D49" s="39">
        <f>D47+D48</f>
        <v>83436</v>
      </c>
      <c r="E49" s="40" t="s">
        <v>126</v>
      </c>
      <c r="F49" s="44">
        <f>ROUND(SQRT((D47*F47)^2+(D48*F48)^2)/D49,2)</f>
        <v>3.95</v>
      </c>
      <c r="G49" s="45" t="s">
        <v>127</v>
      </c>
      <c r="H49" s="46"/>
      <c r="I49" s="46"/>
    </row>
    <row r="51" spans="1:9" x14ac:dyDescent="0.25">
      <c r="A51" s="38" t="s">
        <v>128</v>
      </c>
    </row>
    <row r="52" spans="1:9" x14ac:dyDescent="0.25">
      <c r="B52" t="str">
        <f>CONCATENATE("е=",F49,"%")</f>
        <v>е=3.95%</v>
      </c>
    </row>
  </sheetData>
  <mergeCells count="2">
    <mergeCell ref="B32:T32"/>
    <mergeCell ref="B34:T3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Пр 2. Лист 1. БЛ по М0014</vt:lpstr>
      <vt:lpstr>Пр. 2 Лист 2. ПЛ по М0014</vt:lpstr>
      <vt:lpstr>Пр 2 Лист 3. Сокр выбр ПГ</vt:lpstr>
      <vt:lpstr>Пр 2. Лист 4. Состав ПНГ</vt:lpstr>
      <vt:lpstr>Пр 2. Лист 5. Объем ПНГ</vt:lpstr>
      <vt:lpstr>Пр 2. Лист 6. Неопределенность</vt:lpstr>
      <vt:lpstr>'Пр 2. Лист 1. БЛ по М0014'!Область_печати</vt:lpstr>
      <vt:lpstr>'Пр 2. Лист 5. Объем ПНГ'!Область_печати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Кривых Игорь Александрович</cp:lastModifiedBy>
  <cp:lastPrinted>2026-06-05T04:41:50Z</cp:lastPrinted>
  <dcterms:created xsi:type="dcterms:W3CDTF">2025-10-27T12:02:07Z</dcterms:created>
  <dcterms:modified xsi:type="dcterms:W3CDTF">2026-07-01T04:01:23Z</dcterms:modified>
</cp:coreProperties>
</file>